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O:\01 Projects\2023\20230244 WALGA - Ec devpt tools and templates\"/>
    </mc:Choice>
  </mc:AlternateContent>
  <xr:revisionPtr revIDLastSave="0" documentId="13_ncr:1_{1D43CA19-CF19-469F-8436-3E4F7868F814}" xr6:coauthVersionLast="47" xr6:coauthVersionMax="47" xr10:uidLastSave="{00000000-0000-0000-0000-000000000000}"/>
  <bookViews>
    <workbookView xWindow="-110" yWindow="-110" windowWidth="19420" windowHeight="10420" tabRatio="888" xr2:uid="{C6D77E8C-BF46-41D9-B65D-554DF1ED21D8}"/>
  </bookViews>
  <sheets>
    <sheet name="Cover" sheetId="24" r:id="rId1"/>
    <sheet name="Model explanation" sheetId="66" r:id="rId2"/>
    <sheet name="Inputs &amp; early calcs&gt;" sheetId="43" r:id="rId3"/>
    <sheet name="General" sheetId="38" r:id="rId4"/>
    <sheet name="CAPEX_In" sheetId="44" r:id="rId5"/>
    <sheet name="OPEX_In" sheetId="45" r:id="rId6"/>
    <sheet name="Benefit_In" sheetId="60" r:id="rId7"/>
    <sheet name="Trail use&gt;" sheetId="62" r:id="rId8"/>
    <sheet name="Km+hr travelled" sheetId="61" r:id="rId9"/>
    <sheet name="Annualised calcs &gt;" sheetId="40" r:id="rId10"/>
    <sheet name="CAPEX" sheetId="48" r:id="rId11"/>
    <sheet name="OPEX" sheetId="49" r:id="rId12"/>
    <sheet name="Benefits" sheetId="50" r:id="rId13"/>
    <sheet name="Outputs&gt;" sheetId="41" r:id="rId14"/>
    <sheet name="DCF" sheetId="22" r:id="rId15"/>
    <sheet name="Sens tests&gt;" sheetId="56" r:id="rId16"/>
    <sheet name="4%" sheetId="63" r:id="rId17"/>
    <sheet name="10%" sheetId="64" r:id="rId18"/>
    <sheet name="Best+Worst" sheetId="65" r:id="rId19"/>
  </sheets>
  <externalReferences>
    <externalReference r:id="rId20"/>
  </externalReferences>
  <definedNames>
    <definedName name="_xlnm._FilterDatabase" localSheetId="17" hidden="1">'10%'!$A$10:$F$97289</definedName>
    <definedName name="_xlnm._FilterDatabase" localSheetId="16" hidden="1">'4%'!$A$10:$F$97289</definedName>
    <definedName name="_xlnm._FilterDatabase" localSheetId="12" hidden="1">Benefits!$A$9:$Y$97316</definedName>
    <definedName name="_xlnm._FilterDatabase" localSheetId="18" hidden="1">'Best+Worst'!$A$10:$F$97296</definedName>
    <definedName name="_xlnm._FilterDatabase" localSheetId="10" hidden="1">CAPEX!$A$3:$Y$97278</definedName>
    <definedName name="_xlnm._FilterDatabase" localSheetId="14" hidden="1">DCF!$A$10:$F$97288</definedName>
    <definedName name="_xlnm._FilterDatabase" localSheetId="11" hidden="1">OPEX!$A$9:$Y$97284</definedName>
    <definedName name="BenefitPeriod">General!$N$8</definedName>
    <definedName name="CheckError">General!$N$44</definedName>
    <definedName name="CheckOK">General!$N$43</definedName>
    <definedName name="DiscRate">General!$N$7</definedName>
    <definedName name="FY10toFY22">General!$N$51</definedName>
    <definedName name="FY13toFY22">General!$N$52</definedName>
    <definedName name="HoursinDay">General!$N$29</definedName>
    <definedName name="Hundred">General!$N$39</definedName>
    <definedName name="HundredMillion">General!$N$36</definedName>
    <definedName name="Million">General!$N$37</definedName>
    <definedName name="MinutesinHour">General!$N$28</definedName>
    <definedName name="MonthsinYear">General!$N$30</definedName>
    <definedName name="SensBenefitsHigh">General!$N$70</definedName>
    <definedName name="SensBenefitsLow">General!$N$69</definedName>
    <definedName name="SensCAPEXHigh">General!$N$65</definedName>
    <definedName name="SensCAPEXLow">General!$N$64</definedName>
    <definedName name="SensCAPEXVeryHigh">General!#REF!</definedName>
    <definedName name="SensDisc10">General!$N$60</definedName>
    <definedName name="SensDisc4">General!$N$59</definedName>
    <definedName name="Thousand">General!$N$38</definedName>
    <definedName name="WeeksinYear">General!$N$31</definedName>
    <definedName name="YearsinDecade">General!$N$32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6" l="1"/>
  <c r="I124" i="61" l="1"/>
  <c r="N38" i="60"/>
  <c r="N77" i="60" l="1"/>
  <c r="N76" i="60"/>
  <c r="N78" i="60"/>
  <c r="N70" i="60"/>
  <c r="N72" i="60"/>
  <c r="N4" i="60"/>
  <c r="N75" i="60"/>
  <c r="N55" i="60" l="1"/>
  <c r="N54" i="60"/>
  <c r="N62" i="60" l="1"/>
  <c r="N87" i="60"/>
  <c r="H8" i="44"/>
  <c r="N39" i="60"/>
  <c r="N42" i="60" s="1"/>
  <c r="P213" i="44"/>
  <c r="P212" i="44"/>
  <c r="P25" i="61" l="1"/>
  <c r="P24" i="61"/>
  <c r="O24" i="61"/>
  <c r="N25" i="61"/>
  <c r="P23" i="61"/>
  <c r="P22" i="61"/>
  <c r="O23" i="61"/>
  <c r="O22" i="61"/>
  <c r="N65" i="60"/>
  <c r="N22" i="61" s="1"/>
  <c r="N64" i="60"/>
  <c r="N24" i="61" s="1"/>
  <c r="N63" i="60"/>
  <c r="N23" i="61" s="1"/>
  <c r="N29" i="61"/>
  <c r="S22" i="61" l="1"/>
  <c r="S23" i="61"/>
  <c r="S24" i="61"/>
  <c r="O25" i="61"/>
  <c r="S25" i="61" s="1"/>
  <c r="N15" i="61" l="1"/>
  <c r="M35" i="61" s="1"/>
  <c r="N13" i="60"/>
  <c r="O84" i="60" l="1"/>
  <c r="O83" i="60"/>
  <c r="O8" i="63" l="1"/>
  <c r="P8" i="63"/>
  <c r="Q8" i="63"/>
  <c r="R8" i="63"/>
  <c r="S8" i="63"/>
  <c r="T8" i="63"/>
  <c r="U8" i="63"/>
  <c r="V8" i="63"/>
  <c r="W8" i="63"/>
  <c r="X8" i="63"/>
  <c r="Y8" i="63"/>
  <c r="Z8" i="63"/>
  <c r="AA8" i="63"/>
  <c r="AB8" i="63"/>
  <c r="AC8" i="63"/>
  <c r="AD8" i="63"/>
  <c r="AE8" i="63"/>
  <c r="AF8" i="63"/>
  <c r="AG8" i="63"/>
  <c r="AH8" i="63"/>
  <c r="AI8" i="63"/>
  <c r="AJ8" i="63"/>
  <c r="AK8" i="63"/>
  <c r="AL8" i="63"/>
  <c r="AM8" i="63"/>
  <c r="AN8" i="63"/>
  <c r="AO8" i="63"/>
  <c r="AP8" i="63"/>
  <c r="AQ8" i="63"/>
  <c r="AR8" i="63"/>
  <c r="H8" i="63"/>
  <c r="J8" i="63"/>
  <c r="K8" i="63"/>
  <c r="L8" i="63"/>
  <c r="M8" i="63"/>
  <c r="N8" i="63"/>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AR8" i="64"/>
  <c r="O8" i="64"/>
  <c r="H8" i="64"/>
  <c r="J8" i="64"/>
  <c r="K8" i="64"/>
  <c r="L8" i="64"/>
  <c r="M8" i="64"/>
  <c r="N8" i="64"/>
  <c r="F8" i="64"/>
  <c r="N24" i="38"/>
  <c r="F8" i="63"/>
  <c r="P23" i="38"/>
  <c r="Q23" i="38"/>
  <c r="R23" i="38"/>
  <c r="S23" i="38"/>
  <c r="T23" i="38"/>
  <c r="U23" i="38"/>
  <c r="V23" i="38"/>
  <c r="W23" i="38"/>
  <c r="X23" i="38"/>
  <c r="Y23" i="38"/>
  <c r="Z23" i="38"/>
  <c r="AA23" i="38"/>
  <c r="AB23" i="38"/>
  <c r="AC23" i="38"/>
  <c r="AD23" i="38"/>
  <c r="AE23" i="38"/>
  <c r="AF23" i="38"/>
  <c r="AG23" i="38"/>
  <c r="AH23" i="38"/>
  <c r="AI23" i="38"/>
  <c r="AJ23" i="38"/>
  <c r="AK23" i="38"/>
  <c r="AL23" i="38"/>
  <c r="AM23" i="38"/>
  <c r="AN23" i="38"/>
  <c r="AO23" i="38"/>
  <c r="AP23" i="38"/>
  <c r="AQ23" i="38"/>
  <c r="AR23" i="38"/>
  <c r="P24" i="38"/>
  <c r="Q24" i="38"/>
  <c r="R24" i="38"/>
  <c r="S24" i="38"/>
  <c r="T24" i="38"/>
  <c r="U24" i="38"/>
  <c r="V24" i="38"/>
  <c r="W24" i="38"/>
  <c r="X24" i="38"/>
  <c r="Y24" i="38"/>
  <c r="Z24" i="38"/>
  <c r="AA24" i="38"/>
  <c r="AB24" i="38"/>
  <c r="AC24" i="38"/>
  <c r="AD24" i="38"/>
  <c r="AE24" i="38"/>
  <c r="AF24" i="38"/>
  <c r="AG24" i="38"/>
  <c r="AH24" i="38"/>
  <c r="AI24" i="38"/>
  <c r="AJ24" i="38"/>
  <c r="AK24" i="38"/>
  <c r="AL24" i="38"/>
  <c r="AM24" i="38"/>
  <c r="AN24" i="38"/>
  <c r="AO24" i="38"/>
  <c r="AP24" i="38"/>
  <c r="AQ24" i="38"/>
  <c r="AR24" i="38"/>
  <c r="O23" i="38"/>
  <c r="O24" i="38"/>
  <c r="N23" i="38"/>
  <c r="N22" i="38"/>
  <c r="H8" i="65"/>
  <c r="F8" i="65"/>
  <c r="H7" i="65"/>
  <c r="F7" i="65"/>
  <c r="O6" i="65"/>
  <c r="N6" i="65"/>
  <c r="H6" i="65"/>
  <c r="F6" i="65"/>
  <c r="AR5" i="65"/>
  <c r="AQ5" i="65"/>
  <c r="AP5" i="65"/>
  <c r="AO5" i="65"/>
  <c r="AN5" i="65"/>
  <c r="AM5" i="65"/>
  <c r="AL5" i="65"/>
  <c r="AK5" i="65"/>
  <c r="AJ5" i="65"/>
  <c r="AI5" i="65"/>
  <c r="AH5" i="65"/>
  <c r="AG5" i="65"/>
  <c r="AF5" i="65"/>
  <c r="AE5" i="65"/>
  <c r="AD5" i="65"/>
  <c r="AC5" i="65"/>
  <c r="AB5" i="65"/>
  <c r="AA5" i="65"/>
  <c r="Z5" i="65"/>
  <c r="Y5" i="65"/>
  <c r="X5" i="65"/>
  <c r="N5" i="65"/>
  <c r="H5" i="65"/>
  <c r="F5" i="65"/>
  <c r="N4" i="65"/>
  <c r="H4" i="65"/>
  <c r="F4" i="65"/>
  <c r="H3" i="65"/>
  <c r="F3" i="65"/>
  <c r="A1" i="65"/>
  <c r="H7" i="64"/>
  <c r="F7" i="64"/>
  <c r="O6" i="64"/>
  <c r="N6" i="64"/>
  <c r="H6" i="64"/>
  <c r="F6" i="64"/>
  <c r="AR5" i="64"/>
  <c r="AQ5" i="64"/>
  <c r="AP5" i="64"/>
  <c r="AO5" i="64"/>
  <c r="AN5" i="64"/>
  <c r="AM5" i="64"/>
  <c r="AL5" i="64"/>
  <c r="AK5" i="64"/>
  <c r="AJ5" i="64"/>
  <c r="AI5" i="64"/>
  <c r="AH5" i="64"/>
  <c r="AG5" i="64"/>
  <c r="AF5" i="64"/>
  <c r="AE5" i="64"/>
  <c r="AD5" i="64"/>
  <c r="AC5" i="64"/>
  <c r="AB5" i="64"/>
  <c r="AA5" i="64"/>
  <c r="Z5" i="64"/>
  <c r="Y5" i="64"/>
  <c r="X5" i="64"/>
  <c r="N5" i="64"/>
  <c r="H5" i="64"/>
  <c r="F5" i="64"/>
  <c r="N4" i="64"/>
  <c r="H4" i="64"/>
  <c r="F4" i="64"/>
  <c r="H3" i="64"/>
  <c r="F3" i="64"/>
  <c r="A1" i="64"/>
  <c r="H7" i="63"/>
  <c r="F7" i="63"/>
  <c r="O6" i="63"/>
  <c r="N6" i="63"/>
  <c r="H6" i="63"/>
  <c r="F6" i="63"/>
  <c r="AR5" i="63"/>
  <c r="AQ5" i="63"/>
  <c r="AP5" i="63"/>
  <c r="AO5" i="63"/>
  <c r="AN5" i="63"/>
  <c r="AM5" i="63"/>
  <c r="AL5" i="63"/>
  <c r="AK5" i="63"/>
  <c r="AJ5" i="63"/>
  <c r="AI5" i="63"/>
  <c r="AH5" i="63"/>
  <c r="AG5" i="63"/>
  <c r="AF5" i="63"/>
  <c r="AE5" i="63"/>
  <c r="AD5" i="63"/>
  <c r="AC5" i="63"/>
  <c r="AB5" i="63"/>
  <c r="AA5" i="63"/>
  <c r="Z5" i="63"/>
  <c r="Y5" i="63"/>
  <c r="X5" i="63"/>
  <c r="N5" i="63"/>
  <c r="H5" i="63"/>
  <c r="F5" i="63"/>
  <c r="N4" i="63"/>
  <c r="H4" i="63"/>
  <c r="F4" i="63"/>
  <c r="H3" i="63"/>
  <c r="F3" i="63"/>
  <c r="A1" i="63"/>
  <c r="N89" i="60" l="1"/>
  <c r="O89" i="60" s="1"/>
  <c r="O6" i="49"/>
  <c r="F20" i="50" l="1"/>
  <c r="N19" i="50"/>
  <c r="N16" i="50"/>
  <c r="N12" i="50"/>
  <c r="O96" i="60"/>
  <c r="N20" i="50" s="1"/>
  <c r="F19" i="50" l="1"/>
  <c r="H17" i="50"/>
  <c r="F17" i="50"/>
  <c r="F16" i="50"/>
  <c r="H13" i="50"/>
  <c r="H14" i="50"/>
  <c r="F13" i="50"/>
  <c r="F14" i="50"/>
  <c r="F12" i="50"/>
  <c r="N19" i="61"/>
  <c r="H15" i="61"/>
  <c r="O15" i="61"/>
  <c r="W35" i="61" s="1"/>
  <c r="P15" i="61"/>
  <c r="AG35" i="61" s="1"/>
  <c r="Q15" i="61"/>
  <c r="AQ35" i="61" s="1"/>
  <c r="H16" i="61"/>
  <c r="N16" i="61"/>
  <c r="M36" i="61" s="1"/>
  <c r="O16" i="61"/>
  <c r="W36" i="61" s="1"/>
  <c r="P16" i="61"/>
  <c r="AG36" i="61" s="1"/>
  <c r="Q16" i="61"/>
  <c r="AQ36" i="61" s="1"/>
  <c r="F16" i="61"/>
  <c r="F15" i="61"/>
  <c r="F14" i="61"/>
  <c r="F27" i="61"/>
  <c r="N28" i="61"/>
  <c r="H28" i="61"/>
  <c r="H29" i="61"/>
  <c r="F29" i="61"/>
  <c r="F28" i="61"/>
  <c r="O14" i="61"/>
  <c r="P14" i="61"/>
  <c r="Q14" i="61"/>
  <c r="N14" i="61"/>
  <c r="AQ98" i="61" l="1"/>
  <c r="AQ106" i="61"/>
  <c r="AQ88" i="61"/>
  <c r="AQ70" i="61"/>
  <c r="AQ52" i="61"/>
  <c r="AQ80" i="61"/>
  <c r="AQ62" i="61"/>
  <c r="AQ44" i="61"/>
  <c r="AG106" i="61"/>
  <c r="AG88" i="61"/>
  <c r="AG52" i="61"/>
  <c r="AG80" i="61"/>
  <c r="AG98" i="61"/>
  <c r="AG62" i="61"/>
  <c r="AG44" i="61"/>
  <c r="AG70" i="61"/>
  <c r="M51" i="61"/>
  <c r="M105" i="61"/>
  <c r="M79" i="61"/>
  <c r="M43" i="61"/>
  <c r="M86" i="61"/>
  <c r="M68" i="61"/>
  <c r="M42" i="61"/>
  <c r="M69" i="61"/>
  <c r="M50" i="61"/>
  <c r="M87" i="61"/>
  <c r="M61" i="61"/>
  <c r="M60" i="61"/>
  <c r="M97" i="61"/>
  <c r="M96" i="61"/>
  <c r="M78" i="61"/>
  <c r="M104" i="61"/>
  <c r="W105" i="61"/>
  <c r="W79" i="61"/>
  <c r="W104" i="61"/>
  <c r="W78" i="61"/>
  <c r="W87" i="61"/>
  <c r="W86" i="61"/>
  <c r="W50" i="61"/>
  <c r="W97" i="61"/>
  <c r="W61" i="61"/>
  <c r="W69" i="61"/>
  <c r="W60" i="61"/>
  <c r="W43" i="61"/>
  <c r="W51" i="61"/>
  <c r="W68" i="61"/>
  <c r="W96" i="61"/>
  <c r="W42" i="61"/>
  <c r="W88" i="61"/>
  <c r="W98" i="61"/>
  <c r="W80" i="61"/>
  <c r="W62" i="61"/>
  <c r="W44" i="61"/>
  <c r="W106" i="61"/>
  <c r="W70" i="61"/>
  <c r="W52" i="61"/>
  <c r="M80" i="61"/>
  <c r="M98" i="61"/>
  <c r="M44" i="61"/>
  <c r="M70" i="61"/>
  <c r="M88" i="61"/>
  <c r="M62" i="61"/>
  <c r="M52" i="61"/>
  <c r="M106" i="61"/>
  <c r="AQ97" i="61"/>
  <c r="AQ96" i="61"/>
  <c r="AQ105" i="61"/>
  <c r="AQ79" i="61"/>
  <c r="AQ43" i="61"/>
  <c r="AQ69" i="61"/>
  <c r="AQ42" i="61"/>
  <c r="AQ86" i="61"/>
  <c r="AQ68" i="61"/>
  <c r="AQ87" i="61"/>
  <c r="AQ104" i="61"/>
  <c r="AQ51" i="61"/>
  <c r="AQ78" i="61"/>
  <c r="AQ50" i="61"/>
  <c r="AQ60" i="61"/>
  <c r="AQ61" i="61"/>
  <c r="AG96" i="61"/>
  <c r="AG105" i="61"/>
  <c r="AG79" i="61"/>
  <c r="AG104" i="61"/>
  <c r="AG78" i="61"/>
  <c r="AG87" i="61"/>
  <c r="AG68" i="61"/>
  <c r="AG51" i="61"/>
  <c r="AG50" i="61"/>
  <c r="AG86" i="61"/>
  <c r="AG61" i="61"/>
  <c r="AG97" i="61"/>
  <c r="AG43" i="61"/>
  <c r="AG69" i="61"/>
  <c r="AG42" i="61"/>
  <c r="AG60" i="61"/>
  <c r="AR35" i="61"/>
  <c r="AR36" i="61"/>
  <c r="X7" i="61"/>
  <c r="Y7" i="61"/>
  <c r="Z7" i="61"/>
  <c r="AA7" i="61"/>
  <c r="AB7" i="61"/>
  <c r="AC7" i="61"/>
  <c r="AD7" i="61"/>
  <c r="AE7" i="61"/>
  <c r="AF7" i="61"/>
  <c r="AG7" i="61"/>
  <c r="AH7" i="61"/>
  <c r="AI7" i="61"/>
  <c r="AJ7" i="61"/>
  <c r="AK7" i="61"/>
  <c r="AL7" i="61"/>
  <c r="AM7" i="61"/>
  <c r="AN7" i="61"/>
  <c r="AO7" i="61"/>
  <c r="AP7" i="61"/>
  <c r="AQ7" i="61"/>
  <c r="AR7" i="61"/>
  <c r="O8" i="61"/>
  <c r="N6" i="61"/>
  <c r="N7" i="61"/>
  <c r="N8" i="61"/>
  <c r="H6" i="61"/>
  <c r="H7" i="61"/>
  <c r="H8" i="61"/>
  <c r="H9" i="61"/>
  <c r="H10" i="61"/>
  <c r="H5" i="61"/>
  <c r="F6" i="61"/>
  <c r="F7" i="61"/>
  <c r="F8" i="61"/>
  <c r="F9" i="61"/>
  <c r="F10" i="61"/>
  <c r="F5" i="61"/>
  <c r="A1" i="62"/>
  <c r="W123" i="61" l="1"/>
  <c r="AG114" i="61"/>
  <c r="M122" i="61"/>
  <c r="W114" i="61"/>
  <c r="W115" i="61"/>
  <c r="M134" i="61"/>
  <c r="AG134" i="61"/>
  <c r="W134" i="61"/>
  <c r="AG141" i="61"/>
  <c r="AQ142" i="61"/>
  <c r="AQ123" i="61"/>
  <c r="AG122" i="61"/>
  <c r="AG123" i="61"/>
  <c r="AQ116" i="61"/>
  <c r="AQ114" i="61"/>
  <c r="M124" i="61"/>
  <c r="AG142" i="61"/>
  <c r="AG140" i="61"/>
  <c r="AG116" i="61"/>
  <c r="AQ134" i="61"/>
  <c r="AQ141" i="61"/>
  <c r="W140" i="61"/>
  <c r="AQ133" i="61"/>
  <c r="W124" i="61"/>
  <c r="AG115" i="61"/>
  <c r="W116" i="61"/>
  <c r="AQ124" i="61"/>
  <c r="M116" i="61"/>
  <c r="W141" i="61"/>
  <c r="AQ132" i="61"/>
  <c r="AQ44" i="50"/>
  <c r="W142" i="61"/>
  <c r="W122" i="61"/>
  <c r="M114" i="61"/>
  <c r="AQ115" i="61"/>
  <c r="M142" i="61"/>
  <c r="M132" i="61"/>
  <c r="M115" i="61"/>
  <c r="M45" i="61"/>
  <c r="M141" i="61"/>
  <c r="M71" i="61"/>
  <c r="AG133" i="61"/>
  <c r="W44" i="50"/>
  <c r="W132" i="61"/>
  <c r="M63" i="61"/>
  <c r="M133" i="61"/>
  <c r="M81" i="61"/>
  <c r="AG124" i="61"/>
  <c r="AG132" i="61"/>
  <c r="AG44" i="50"/>
  <c r="AR98" i="61"/>
  <c r="AR106" i="61"/>
  <c r="AR44" i="61"/>
  <c r="AR88" i="61"/>
  <c r="AR70" i="61"/>
  <c r="AR52" i="61"/>
  <c r="AR80" i="61"/>
  <c r="AR62" i="61"/>
  <c r="M89" i="61"/>
  <c r="AQ122" i="61"/>
  <c r="M140" i="61"/>
  <c r="AR86" i="61"/>
  <c r="AR97" i="61"/>
  <c r="AR96" i="61"/>
  <c r="AR79" i="61"/>
  <c r="AR60" i="61"/>
  <c r="AR43" i="61"/>
  <c r="AR69" i="61"/>
  <c r="AR42" i="61"/>
  <c r="AR68" i="61"/>
  <c r="AR78" i="61"/>
  <c r="AR104" i="61"/>
  <c r="AR51" i="61"/>
  <c r="AR87" i="61"/>
  <c r="AR61" i="61"/>
  <c r="AR50" i="61"/>
  <c r="AR105" i="61"/>
  <c r="AQ140" i="61"/>
  <c r="W133" i="61"/>
  <c r="M123" i="61"/>
  <c r="A1" i="61"/>
  <c r="N92" i="60"/>
  <c r="O92" i="60" s="1"/>
  <c r="N91" i="60"/>
  <c r="O91" i="60" s="1"/>
  <c r="N88" i="60"/>
  <c r="O88" i="60" s="1"/>
  <c r="N90" i="60"/>
  <c r="O90" i="60" s="1"/>
  <c r="N13" i="50"/>
  <c r="O14" i="60"/>
  <c r="P14" i="60"/>
  <c r="Q14" i="60"/>
  <c r="N14" i="60"/>
  <c r="O13" i="60"/>
  <c r="P13" i="60"/>
  <c r="Q13" i="60"/>
  <c r="H12" i="49"/>
  <c r="F12" i="49"/>
  <c r="N13" i="48"/>
  <c r="H11" i="44"/>
  <c r="G11" i="44"/>
  <c r="H13" i="48" s="1"/>
  <c r="F11" i="44"/>
  <c r="F13" i="48" s="1"/>
  <c r="H12" i="48"/>
  <c r="F12" i="48"/>
  <c r="D6" i="45"/>
  <c r="D5" i="45"/>
  <c r="N12" i="48"/>
  <c r="D6" i="44"/>
  <c r="D5" i="44"/>
  <c r="AR133" i="61" l="1"/>
  <c r="AR115" i="61"/>
  <c r="AR122" i="61"/>
  <c r="AR124" i="61"/>
  <c r="AR114" i="61"/>
  <c r="AR116" i="61"/>
  <c r="AR141" i="61"/>
  <c r="AR123" i="61"/>
  <c r="AR134" i="61"/>
  <c r="AR142" i="61"/>
  <c r="M117" i="61"/>
  <c r="AR132" i="61"/>
  <c r="AR44" i="50"/>
  <c r="AR140" i="61"/>
  <c r="N93" i="60"/>
  <c r="O93" i="60" s="1"/>
  <c r="N17" i="50" s="1"/>
  <c r="N14" i="50"/>
  <c r="O87" i="60"/>
  <c r="H7" i="45"/>
  <c r="H9" i="45" s="1"/>
  <c r="AH38" i="50" l="1"/>
  <c r="AR38" i="50"/>
  <c r="X38" i="50"/>
  <c r="N12" i="49"/>
  <c r="H8" i="22"/>
  <c r="F8" i="22"/>
  <c r="H7" i="22"/>
  <c r="F7" i="22"/>
  <c r="O6" i="22"/>
  <c r="N6" i="22"/>
  <c r="H6" i="22"/>
  <c r="F6" i="22"/>
  <c r="AR5" i="22"/>
  <c r="AQ5" i="22"/>
  <c r="AP5" i="22"/>
  <c r="AO5" i="22"/>
  <c r="AN5" i="22"/>
  <c r="AM5" i="22"/>
  <c r="AL5" i="22"/>
  <c r="AK5" i="22"/>
  <c r="AJ5" i="22"/>
  <c r="AI5" i="22"/>
  <c r="AH5" i="22"/>
  <c r="AG5" i="22"/>
  <c r="AF5" i="22"/>
  <c r="AE5" i="22"/>
  <c r="AD5" i="22"/>
  <c r="AC5" i="22"/>
  <c r="AB5" i="22"/>
  <c r="AA5" i="22"/>
  <c r="Z5" i="22"/>
  <c r="Y5" i="22"/>
  <c r="X5" i="22"/>
  <c r="N5" i="22"/>
  <c r="H5" i="22"/>
  <c r="F5" i="22"/>
  <c r="N4" i="22"/>
  <c r="H4" i="22"/>
  <c r="F4" i="22"/>
  <c r="H3" i="22"/>
  <c r="F3" i="22"/>
  <c r="H8" i="50"/>
  <c r="F8" i="50"/>
  <c r="H7" i="50"/>
  <c r="F7" i="50"/>
  <c r="O6" i="50"/>
  <c r="N6" i="50"/>
  <c r="H6" i="50"/>
  <c r="F6" i="50"/>
  <c r="AR5" i="50"/>
  <c r="AQ5" i="50"/>
  <c r="AP5" i="50"/>
  <c r="AO5" i="50"/>
  <c r="AN5" i="50"/>
  <c r="AM5" i="50"/>
  <c r="AL5" i="50"/>
  <c r="AK5" i="50"/>
  <c r="AJ5" i="50"/>
  <c r="AI5" i="50"/>
  <c r="AH5" i="50"/>
  <c r="AG5" i="50"/>
  <c r="AF5" i="50"/>
  <c r="AE5" i="50"/>
  <c r="AD5" i="50"/>
  <c r="AC5" i="50"/>
  <c r="AB5" i="50"/>
  <c r="AA5" i="50"/>
  <c r="Z5" i="50"/>
  <c r="Y5" i="50"/>
  <c r="X5" i="50"/>
  <c r="N5" i="50"/>
  <c r="H5" i="50"/>
  <c r="F5" i="50"/>
  <c r="N4" i="50"/>
  <c r="H4" i="50"/>
  <c r="F4" i="50"/>
  <c r="H3" i="50"/>
  <c r="F3" i="50"/>
  <c r="H8" i="49"/>
  <c r="F8" i="49"/>
  <c r="H7" i="49"/>
  <c r="F7" i="49"/>
  <c r="N6" i="49"/>
  <c r="H6" i="49"/>
  <c r="F6" i="49"/>
  <c r="AR5" i="49"/>
  <c r="AQ5" i="49"/>
  <c r="AP5" i="49"/>
  <c r="AO5" i="49"/>
  <c r="AN5" i="49"/>
  <c r="AM5" i="49"/>
  <c r="AL5" i="49"/>
  <c r="AK5" i="49"/>
  <c r="AJ5" i="49"/>
  <c r="AI5" i="49"/>
  <c r="AH5" i="49"/>
  <c r="AG5" i="49"/>
  <c r="AF5" i="49"/>
  <c r="AE5" i="49"/>
  <c r="AD5" i="49"/>
  <c r="AC5" i="49"/>
  <c r="AB5" i="49"/>
  <c r="AA5" i="49"/>
  <c r="Z5" i="49"/>
  <c r="Y5" i="49"/>
  <c r="X5" i="49"/>
  <c r="N5" i="49"/>
  <c r="H5" i="49"/>
  <c r="F5" i="49"/>
  <c r="N4" i="49"/>
  <c r="H4" i="49"/>
  <c r="F4" i="49"/>
  <c r="H3" i="49"/>
  <c r="F3" i="49"/>
  <c r="X5" i="48"/>
  <c r="X19" i="48" s="1"/>
  <c r="Y5" i="48"/>
  <c r="Y19" i="48" s="1"/>
  <c r="Z5" i="48"/>
  <c r="Z19" i="48" s="1"/>
  <c r="AA5" i="48"/>
  <c r="AA19" i="48" s="1"/>
  <c r="AB5" i="48"/>
  <c r="AB19" i="48" s="1"/>
  <c r="AC5" i="48"/>
  <c r="AC19" i="48" s="1"/>
  <c r="AD5" i="48"/>
  <c r="AD19" i="48" s="1"/>
  <c r="AE5" i="48"/>
  <c r="AE19" i="48" s="1"/>
  <c r="AF5" i="48"/>
  <c r="AF19" i="48" s="1"/>
  <c r="AG5" i="48"/>
  <c r="AG19" i="48" s="1"/>
  <c r="AH5" i="48"/>
  <c r="AH19" i="48" s="1"/>
  <c r="AI5" i="48"/>
  <c r="AI19" i="48" s="1"/>
  <c r="AJ5" i="48"/>
  <c r="AJ19" i="48" s="1"/>
  <c r="AK5" i="48"/>
  <c r="AK19" i="48" s="1"/>
  <c r="AL5" i="48"/>
  <c r="AL19" i="48" s="1"/>
  <c r="AM5" i="48"/>
  <c r="AM19" i="48" s="1"/>
  <c r="AN5" i="48"/>
  <c r="AN19" i="48" s="1"/>
  <c r="AO5" i="48"/>
  <c r="AO19" i="48" s="1"/>
  <c r="AP5" i="48"/>
  <c r="AP19" i="48" s="1"/>
  <c r="AQ5" i="48"/>
  <c r="AQ19" i="48" s="1"/>
  <c r="AR5" i="48"/>
  <c r="AR19" i="48" s="1"/>
  <c r="O6" i="48"/>
  <c r="N4" i="48"/>
  <c r="N5" i="48"/>
  <c r="N19" i="48" s="1"/>
  <c r="N6" i="48"/>
  <c r="H4" i="48"/>
  <c r="H5" i="48"/>
  <c r="H6" i="48"/>
  <c r="H7" i="48"/>
  <c r="H8" i="48"/>
  <c r="H3" i="48"/>
  <c r="F4" i="48"/>
  <c r="F5" i="48"/>
  <c r="F6" i="48"/>
  <c r="F7" i="48"/>
  <c r="F8" i="48"/>
  <c r="F3" i="48"/>
  <c r="P20" i="38"/>
  <c r="O19" i="38"/>
  <c r="A1" i="60"/>
  <c r="A1" i="56"/>
  <c r="N17" i="38"/>
  <c r="O19" i="49" l="1"/>
  <c r="N19" i="49"/>
  <c r="N16" i="22" s="1"/>
  <c r="AQ15" i="22"/>
  <c r="AQ15" i="65"/>
  <c r="AQ15" i="64"/>
  <c r="AQ15" i="63"/>
  <c r="AH15" i="22"/>
  <c r="AH15" i="65"/>
  <c r="AH15" i="63"/>
  <c r="AH15" i="64"/>
  <c r="AR15" i="22"/>
  <c r="AR15" i="63"/>
  <c r="AR15" i="64"/>
  <c r="AR15" i="65"/>
  <c r="AJ15" i="22"/>
  <c r="AJ15" i="64"/>
  <c r="AJ15" i="65"/>
  <c r="AJ15" i="63"/>
  <c r="AB15" i="22"/>
  <c r="AB15" i="63"/>
  <c r="AB15" i="64"/>
  <c r="AB15" i="65"/>
  <c r="AP15" i="22"/>
  <c r="AP15" i="65"/>
  <c r="AP15" i="63"/>
  <c r="AP15" i="64"/>
  <c r="AO15" i="22"/>
  <c r="AO15" i="64"/>
  <c r="AO15" i="65"/>
  <c r="AO15" i="63"/>
  <c r="AG15" i="22"/>
  <c r="AG15" i="64"/>
  <c r="AG15" i="65"/>
  <c r="AG15" i="63"/>
  <c r="Y15" i="22"/>
  <c r="Y15" i="64"/>
  <c r="Y15" i="65"/>
  <c r="Y15" i="63"/>
  <c r="AN15" i="22"/>
  <c r="AN15" i="64"/>
  <c r="AN15" i="65"/>
  <c r="AN15" i="63"/>
  <c r="AF15" i="22"/>
  <c r="AF15" i="64"/>
  <c r="AF15" i="65"/>
  <c r="AF15" i="63"/>
  <c r="X15" i="22"/>
  <c r="X15" i="64"/>
  <c r="X15" i="65"/>
  <c r="X15" i="63"/>
  <c r="N16" i="64"/>
  <c r="AM15" i="22"/>
  <c r="AM15" i="63"/>
  <c r="AM15" i="64"/>
  <c r="AM15" i="65"/>
  <c r="AE15" i="22"/>
  <c r="AE15" i="63"/>
  <c r="AE15" i="64"/>
  <c r="AE15" i="65"/>
  <c r="AA15" i="22"/>
  <c r="AA15" i="65"/>
  <c r="AA15" i="63"/>
  <c r="AA15" i="64"/>
  <c r="Z15" i="22"/>
  <c r="Z15" i="65"/>
  <c r="Z15" i="64"/>
  <c r="Z15" i="63"/>
  <c r="N3" i="49"/>
  <c r="N3" i="64"/>
  <c r="N3" i="65"/>
  <c r="N3" i="63"/>
  <c r="O5" i="63"/>
  <c r="O5" i="64"/>
  <c r="O5" i="65"/>
  <c r="AL15" i="22"/>
  <c r="AL15" i="63"/>
  <c r="AL15" i="64"/>
  <c r="AL15" i="65"/>
  <c r="AD15" i="22"/>
  <c r="AD15" i="63"/>
  <c r="AD15" i="64"/>
  <c r="AD15" i="65"/>
  <c r="AI15" i="22"/>
  <c r="AI15" i="65"/>
  <c r="AI15" i="63"/>
  <c r="AI15" i="64"/>
  <c r="N15" i="22"/>
  <c r="N15" i="63"/>
  <c r="N15" i="64"/>
  <c r="N15" i="65"/>
  <c r="P6" i="49"/>
  <c r="P6" i="63"/>
  <c r="P6" i="64"/>
  <c r="P6" i="65"/>
  <c r="AK15" i="22"/>
  <c r="AK15" i="63"/>
  <c r="AK15" i="65"/>
  <c r="AK15" i="64"/>
  <c r="AC15" i="22"/>
  <c r="AC15" i="63"/>
  <c r="AC15" i="65"/>
  <c r="AC15" i="64"/>
  <c r="P19" i="38"/>
  <c r="O7" i="61"/>
  <c r="N3" i="48"/>
  <c r="N3" i="22"/>
  <c r="N45" i="22" s="1"/>
  <c r="N3" i="50"/>
  <c r="Q20" i="38"/>
  <c r="P8" i="61"/>
  <c r="O5" i="22"/>
  <c r="O5" i="48"/>
  <c r="O19" i="48" s="1"/>
  <c r="O5" i="50"/>
  <c r="N21" i="38"/>
  <c r="N5" i="61"/>
  <c r="P6" i="48"/>
  <c r="P6" i="22"/>
  <c r="O5" i="49"/>
  <c r="P6" i="50"/>
  <c r="O17" i="38"/>
  <c r="N16" i="63" l="1"/>
  <c r="N17" i="63" s="1"/>
  <c r="N16" i="65"/>
  <c r="N17" i="22"/>
  <c r="O16" i="65"/>
  <c r="O16" i="64"/>
  <c r="O16" i="63"/>
  <c r="P19" i="49"/>
  <c r="O16" i="22"/>
  <c r="O15" i="22"/>
  <c r="O15" i="63"/>
  <c r="O15" i="64"/>
  <c r="O15" i="65"/>
  <c r="O17" i="65" s="1"/>
  <c r="P5" i="63"/>
  <c r="P5" i="65"/>
  <c r="P5" i="64"/>
  <c r="O3" i="63"/>
  <c r="O3" i="65"/>
  <c r="O3" i="64"/>
  <c r="Q6" i="63"/>
  <c r="Q6" i="64"/>
  <c r="Q6" i="65"/>
  <c r="N17" i="65"/>
  <c r="N7" i="63"/>
  <c r="N7" i="64"/>
  <c r="N7" i="65"/>
  <c r="N17" i="64"/>
  <c r="O5" i="61"/>
  <c r="O3" i="49"/>
  <c r="O3" i="50"/>
  <c r="O3" i="22"/>
  <c r="O45" i="22" s="1"/>
  <c r="O3" i="48"/>
  <c r="N9" i="61"/>
  <c r="N7" i="49"/>
  <c r="N7" i="50"/>
  <c r="N7" i="22"/>
  <c r="N7" i="48"/>
  <c r="R20" i="38"/>
  <c r="Q8" i="61"/>
  <c r="Q6" i="22"/>
  <c r="Q6" i="48"/>
  <c r="Q6" i="49"/>
  <c r="Q6" i="50"/>
  <c r="Q19" i="38"/>
  <c r="P7" i="61"/>
  <c r="P5" i="50"/>
  <c r="P5" i="22"/>
  <c r="P5" i="48"/>
  <c r="P19" i="48" s="1"/>
  <c r="P5" i="49"/>
  <c r="O21" i="38"/>
  <c r="O17" i="22" l="1"/>
  <c r="O17" i="64"/>
  <c r="O17" i="63"/>
  <c r="Q19" i="49"/>
  <c r="P16" i="65"/>
  <c r="P16" i="64"/>
  <c r="P16" i="63"/>
  <c r="P16" i="22"/>
  <c r="Q5" i="63"/>
  <c r="Q5" i="64"/>
  <c r="Q5" i="65"/>
  <c r="O7" i="63"/>
  <c r="O7" i="64"/>
  <c r="O7" i="65"/>
  <c r="P15" i="22"/>
  <c r="P15" i="64"/>
  <c r="P15" i="65"/>
  <c r="P15" i="63"/>
  <c r="R6" i="64"/>
  <c r="R6" i="65"/>
  <c r="R6" i="63"/>
  <c r="O9" i="61"/>
  <c r="O7" i="50"/>
  <c r="O7" i="22"/>
  <c r="O7" i="48"/>
  <c r="O7" i="49"/>
  <c r="S20" i="38"/>
  <c r="R8" i="61"/>
  <c r="R6" i="48"/>
  <c r="R6" i="49"/>
  <c r="R6" i="50"/>
  <c r="R6" i="22"/>
  <c r="R19" i="38"/>
  <c r="Q7" i="61"/>
  <c r="Q5" i="50"/>
  <c r="Q5" i="22"/>
  <c r="Q5" i="48"/>
  <c r="Q19" i="48" s="1"/>
  <c r="Q5" i="49"/>
  <c r="A1" i="22"/>
  <c r="A1" i="50"/>
  <c r="A1" i="49"/>
  <c r="A1" i="48"/>
  <c r="O18" i="38"/>
  <c r="A1" i="45"/>
  <c r="A1" i="44"/>
  <c r="N13" i="38"/>
  <c r="A1" i="43"/>
  <c r="R19" i="49" l="1"/>
  <c r="Q16" i="65"/>
  <c r="Q16" i="64"/>
  <c r="Q16" i="63"/>
  <c r="Q16" i="22"/>
  <c r="P17" i="22"/>
  <c r="O4" i="65"/>
  <c r="O4" i="63"/>
  <c r="O4" i="64"/>
  <c r="R5" i="63"/>
  <c r="R5" i="64"/>
  <c r="R5" i="65"/>
  <c r="P17" i="63"/>
  <c r="P17" i="65"/>
  <c r="P17" i="64"/>
  <c r="S6" i="64"/>
  <c r="S6" i="65"/>
  <c r="S6" i="63"/>
  <c r="Q15" i="22"/>
  <c r="Q15" i="64"/>
  <c r="Q17" i="64" s="1"/>
  <c r="Q15" i="65"/>
  <c r="Q15" i="63"/>
  <c r="T20" i="38"/>
  <c r="S8" i="61"/>
  <c r="S6" i="49"/>
  <c r="S6" i="48"/>
  <c r="S6" i="50"/>
  <c r="S6" i="22"/>
  <c r="S19" i="38"/>
  <c r="R7" i="61"/>
  <c r="R5" i="22"/>
  <c r="R5" i="49"/>
  <c r="R5" i="48"/>
  <c r="R19" i="48" s="1"/>
  <c r="R5" i="50"/>
  <c r="O6" i="61"/>
  <c r="O4" i="49"/>
  <c r="O4" i="50"/>
  <c r="O4" i="22"/>
  <c r="O4" i="48"/>
  <c r="P18" i="38"/>
  <c r="Q17" i="65" l="1"/>
  <c r="Q17" i="63"/>
  <c r="S19" i="49"/>
  <c r="R16" i="63"/>
  <c r="R16" i="65"/>
  <c r="R16" i="64"/>
  <c r="R16" i="22"/>
  <c r="Q17" i="22"/>
  <c r="P4" i="63"/>
  <c r="P4" i="64"/>
  <c r="P4" i="65"/>
  <c r="T6" i="63"/>
  <c r="T6" i="65"/>
  <c r="T6" i="64"/>
  <c r="R15" i="22"/>
  <c r="R17" i="22" s="1"/>
  <c r="R15" i="65"/>
  <c r="R15" i="63"/>
  <c r="R15" i="64"/>
  <c r="S5" i="64"/>
  <c r="S5" i="65"/>
  <c r="S5" i="63"/>
  <c r="N29" i="64"/>
  <c r="N8" i="65"/>
  <c r="N28" i="64"/>
  <c r="N10" i="61"/>
  <c r="T19" i="38"/>
  <c r="S7" i="61"/>
  <c r="S5" i="49"/>
  <c r="S5" i="50"/>
  <c r="S5" i="48"/>
  <c r="S19" i="48" s="1"/>
  <c r="S5" i="22"/>
  <c r="P6" i="61"/>
  <c r="P4" i="49"/>
  <c r="P4" i="50"/>
  <c r="P4" i="22"/>
  <c r="P4" i="48"/>
  <c r="U20" i="38"/>
  <c r="T8" i="61"/>
  <c r="T6" i="49"/>
  <c r="T6" i="50"/>
  <c r="T6" i="22"/>
  <c r="T6" i="48"/>
  <c r="N8" i="49"/>
  <c r="N8" i="48"/>
  <c r="N8" i="50"/>
  <c r="N8" i="22"/>
  <c r="P17" i="38"/>
  <c r="O22" i="38"/>
  <c r="Q18" i="38"/>
  <c r="R17" i="65" l="1"/>
  <c r="T19" i="49"/>
  <c r="S16" i="65"/>
  <c r="S16" i="64"/>
  <c r="S16" i="63"/>
  <c r="S16" i="22"/>
  <c r="Q4" i="63"/>
  <c r="Q4" i="65"/>
  <c r="Q4" i="64"/>
  <c r="T5" i="64"/>
  <c r="T5" i="65"/>
  <c r="T5" i="63"/>
  <c r="U6" i="65"/>
  <c r="U6" i="63"/>
  <c r="U6" i="64"/>
  <c r="P3" i="65"/>
  <c r="P3" i="64"/>
  <c r="P3" i="63"/>
  <c r="R17" i="64"/>
  <c r="S15" i="22"/>
  <c r="S15" i="65"/>
  <c r="S15" i="64"/>
  <c r="S15" i="63"/>
  <c r="R17" i="63"/>
  <c r="O28" i="64"/>
  <c r="O8" i="65"/>
  <c r="N28" i="65"/>
  <c r="N29" i="65"/>
  <c r="N30" i="64"/>
  <c r="N29" i="63"/>
  <c r="N28" i="63"/>
  <c r="O10" i="61"/>
  <c r="V20" i="38"/>
  <c r="U8" i="61"/>
  <c r="U6" i="49"/>
  <c r="U6" i="50"/>
  <c r="U6" i="22"/>
  <c r="U6" i="48"/>
  <c r="Q6" i="61"/>
  <c r="Q4" i="50"/>
  <c r="Q4" i="22"/>
  <c r="Q4" i="48"/>
  <c r="Q4" i="49"/>
  <c r="N28" i="22"/>
  <c r="N29" i="22"/>
  <c r="P5" i="61"/>
  <c r="P3" i="49"/>
  <c r="P3" i="50"/>
  <c r="P3" i="22"/>
  <c r="P45" i="22" s="1"/>
  <c r="P3" i="48"/>
  <c r="U19" i="38"/>
  <c r="T7" i="61"/>
  <c r="T5" i="49"/>
  <c r="T5" i="50"/>
  <c r="T5" i="22"/>
  <c r="T5" i="48"/>
  <c r="T19" i="48" s="1"/>
  <c r="O8" i="49"/>
  <c r="O8" i="50"/>
  <c r="O8" i="22"/>
  <c r="O8" i="48"/>
  <c r="P21" i="38"/>
  <c r="Q17" i="38"/>
  <c r="P22" i="38"/>
  <c r="R18" i="38"/>
  <c r="S17" i="22" l="1"/>
  <c r="S17" i="63"/>
  <c r="S17" i="64"/>
  <c r="U19" i="49"/>
  <c r="T16" i="65"/>
  <c r="T16" i="64"/>
  <c r="T16" i="63"/>
  <c r="T16" i="22"/>
  <c r="R4" i="63"/>
  <c r="R4" i="64"/>
  <c r="R4" i="65"/>
  <c r="T15" i="22"/>
  <c r="T15" i="63"/>
  <c r="T15" i="64"/>
  <c r="T15" i="65"/>
  <c r="V6" i="63"/>
  <c r="V6" i="64"/>
  <c r="V6" i="65"/>
  <c r="S17" i="65"/>
  <c r="Q3" i="64"/>
  <c r="Q3" i="65"/>
  <c r="Q3" i="63"/>
  <c r="P7" i="63"/>
  <c r="P7" i="64"/>
  <c r="P7" i="65"/>
  <c r="U5" i="65"/>
  <c r="U5" i="63"/>
  <c r="U5" i="64"/>
  <c r="O29" i="64"/>
  <c r="O30" i="64" s="1"/>
  <c r="N30" i="65"/>
  <c r="O29" i="65"/>
  <c r="O28" i="65"/>
  <c r="P29" i="64"/>
  <c r="P8" i="65"/>
  <c r="P10" i="61"/>
  <c r="O28" i="63"/>
  <c r="O29" i="63"/>
  <c r="N30" i="63"/>
  <c r="P9" i="61"/>
  <c r="P7" i="22"/>
  <c r="P7" i="49"/>
  <c r="P7" i="50"/>
  <c r="P7" i="48"/>
  <c r="V19" i="38"/>
  <c r="U7" i="61"/>
  <c r="U5" i="48"/>
  <c r="U19" i="48" s="1"/>
  <c r="U5" i="49"/>
  <c r="U5" i="50"/>
  <c r="U5" i="22"/>
  <c r="N30" i="22"/>
  <c r="O29" i="22"/>
  <c r="O28" i="22"/>
  <c r="R6" i="61"/>
  <c r="R4" i="50"/>
  <c r="R4" i="22"/>
  <c r="R4" i="49"/>
  <c r="R4" i="48"/>
  <c r="W20" i="38"/>
  <c r="V8" i="61"/>
  <c r="V6" i="49"/>
  <c r="V6" i="50"/>
  <c r="V6" i="22"/>
  <c r="V6" i="48"/>
  <c r="Q5" i="61"/>
  <c r="Q3" i="49"/>
  <c r="Q3" i="48"/>
  <c r="Q3" i="50"/>
  <c r="Q3" i="22"/>
  <c r="Q45" i="22" s="1"/>
  <c r="P8" i="50"/>
  <c r="P8" i="22"/>
  <c r="P8" i="48"/>
  <c r="P8" i="49"/>
  <c r="Q21" i="38"/>
  <c r="R17" i="38"/>
  <c r="Q22" i="38"/>
  <c r="S18" i="38"/>
  <c r="T17" i="22" l="1"/>
  <c r="V19" i="49"/>
  <c r="U16" i="65"/>
  <c r="U16" i="64"/>
  <c r="U16" i="63"/>
  <c r="U16" i="22"/>
  <c r="T17" i="65"/>
  <c r="N46" i="22"/>
  <c r="N48" i="22" s="1"/>
  <c r="O30" i="65"/>
  <c r="T17" i="64"/>
  <c r="T17" i="63"/>
  <c r="W6" i="63"/>
  <c r="W6" i="64"/>
  <c r="W6" i="65"/>
  <c r="U15" i="22"/>
  <c r="U17" i="22" s="1"/>
  <c r="U15" i="63"/>
  <c r="U15" i="64"/>
  <c r="U15" i="65"/>
  <c r="Q7" i="64"/>
  <c r="Q7" i="65"/>
  <c r="Q7" i="63"/>
  <c r="S4" i="63"/>
  <c r="S4" i="64"/>
  <c r="S4" i="65"/>
  <c r="R3" i="63"/>
  <c r="R3" i="64"/>
  <c r="R3" i="65"/>
  <c r="V5" i="65"/>
  <c r="V5" i="63"/>
  <c r="V5" i="64"/>
  <c r="O30" i="63"/>
  <c r="P28" i="65"/>
  <c r="P29" i="65"/>
  <c r="Q28" i="64"/>
  <c r="Q8" i="65"/>
  <c r="P28" i="64"/>
  <c r="P30" i="64" s="1"/>
  <c r="Q10" i="61"/>
  <c r="P28" i="63"/>
  <c r="P29" i="63"/>
  <c r="O30" i="22"/>
  <c r="W19" i="38"/>
  <c r="V7" i="61"/>
  <c r="V5" i="49"/>
  <c r="V5" i="48"/>
  <c r="V19" i="48" s="1"/>
  <c r="V5" i="50"/>
  <c r="V5" i="22"/>
  <c r="P29" i="22"/>
  <c r="P28" i="22"/>
  <c r="S6" i="61"/>
  <c r="S4" i="22"/>
  <c r="S4" i="48"/>
  <c r="S4" i="49"/>
  <c r="S4" i="50"/>
  <c r="R5" i="61"/>
  <c r="R3" i="50"/>
  <c r="R3" i="48"/>
  <c r="R3" i="22"/>
  <c r="R45" i="22" s="1"/>
  <c r="R3" i="49"/>
  <c r="Q9" i="61"/>
  <c r="Q7" i="48"/>
  <c r="Q7" i="49"/>
  <c r="Q7" i="50"/>
  <c r="Q7" i="22"/>
  <c r="X20" i="38"/>
  <c r="W8" i="61"/>
  <c r="W6" i="49"/>
  <c r="W6" i="48"/>
  <c r="W6" i="50"/>
  <c r="W6" i="22"/>
  <c r="Q8" i="50"/>
  <c r="Q8" i="48"/>
  <c r="Q8" i="22"/>
  <c r="Q8" i="49"/>
  <c r="R21" i="38"/>
  <c r="S17" i="38"/>
  <c r="R22" i="38"/>
  <c r="T18" i="38"/>
  <c r="U17" i="65" l="1"/>
  <c r="U17" i="63"/>
  <c r="O46" i="22"/>
  <c r="U17" i="64"/>
  <c r="W19" i="49"/>
  <c r="V16" i="63"/>
  <c r="V16" i="65"/>
  <c r="V16" i="64"/>
  <c r="V16" i="22"/>
  <c r="V15" i="22"/>
  <c r="V15" i="63"/>
  <c r="V15" i="64"/>
  <c r="V15" i="65"/>
  <c r="R7" i="64"/>
  <c r="R7" i="65"/>
  <c r="R7" i="63"/>
  <c r="X6" i="63"/>
  <c r="X6" i="64"/>
  <c r="X6" i="65"/>
  <c r="W5" i="64"/>
  <c r="W5" i="65"/>
  <c r="W5" i="63"/>
  <c r="S3" i="63"/>
  <c r="S3" i="64"/>
  <c r="S3" i="65"/>
  <c r="T4" i="64"/>
  <c r="T4" i="65"/>
  <c r="T4" i="63"/>
  <c r="Q28" i="65"/>
  <c r="Q29" i="65"/>
  <c r="R28" i="64"/>
  <c r="R8" i="65"/>
  <c r="Q29" i="64"/>
  <c r="Q30" i="64" s="1"/>
  <c r="P30" i="63"/>
  <c r="P30" i="65"/>
  <c r="Q28" i="63"/>
  <c r="Q29" i="63"/>
  <c r="R10" i="61"/>
  <c r="Q29" i="22"/>
  <c r="Q28" i="22"/>
  <c r="Y20" i="38"/>
  <c r="X8" i="61"/>
  <c r="X6" i="50"/>
  <c r="X6" i="22"/>
  <c r="X6" i="48"/>
  <c r="X6" i="49"/>
  <c r="R9" i="61"/>
  <c r="R7" i="48"/>
  <c r="R7" i="49"/>
  <c r="R7" i="50"/>
  <c r="R7" i="22"/>
  <c r="T6" i="61"/>
  <c r="T4" i="48"/>
  <c r="T4" i="49"/>
  <c r="T4" i="50"/>
  <c r="T4" i="22"/>
  <c r="S5" i="61"/>
  <c r="S3" i="50"/>
  <c r="S3" i="22"/>
  <c r="S45" i="22" s="1"/>
  <c r="S3" i="48"/>
  <c r="S3" i="49"/>
  <c r="P30" i="22"/>
  <c r="W7" i="61"/>
  <c r="W5" i="49"/>
  <c r="W5" i="50"/>
  <c r="W5" i="48"/>
  <c r="W19" i="48" s="1"/>
  <c r="W5" i="22"/>
  <c r="R8" i="22"/>
  <c r="R8" i="48"/>
  <c r="R8" i="50"/>
  <c r="R8" i="49"/>
  <c r="S21" i="38"/>
  <c r="U18" i="38"/>
  <c r="T17" i="38"/>
  <c r="S22" i="38"/>
  <c r="V17" i="64" l="1"/>
  <c r="V17" i="63"/>
  <c r="V17" i="65"/>
  <c r="X19" i="49"/>
  <c r="W16" i="65"/>
  <c r="W16" i="64"/>
  <c r="W16" i="63"/>
  <c r="W16" i="22"/>
  <c r="P46" i="22"/>
  <c r="V17" i="22"/>
  <c r="O48" i="22"/>
  <c r="R29" i="64"/>
  <c r="R30" i="64" s="1"/>
  <c r="S7" i="65"/>
  <c r="S7" i="63"/>
  <c r="S7" i="64"/>
  <c r="Y6" i="63"/>
  <c r="Y6" i="64"/>
  <c r="Y6" i="65"/>
  <c r="W15" i="22"/>
  <c r="W15" i="63"/>
  <c r="W15" i="64"/>
  <c r="W15" i="65"/>
  <c r="T3" i="63"/>
  <c r="T3" i="64"/>
  <c r="T3" i="65"/>
  <c r="U4" i="64"/>
  <c r="U4" i="65"/>
  <c r="U4" i="63"/>
  <c r="R28" i="65"/>
  <c r="R29" i="65"/>
  <c r="S28" i="64"/>
  <c r="S8" i="65"/>
  <c r="Q30" i="65"/>
  <c r="R29" i="63"/>
  <c r="R28" i="63"/>
  <c r="S10" i="61"/>
  <c r="Q30" i="63"/>
  <c r="R29" i="22"/>
  <c r="R28" i="22"/>
  <c r="T5" i="61"/>
  <c r="T3" i="22"/>
  <c r="T45" i="22" s="1"/>
  <c r="T3" i="48"/>
  <c r="T3" i="49"/>
  <c r="T3" i="50"/>
  <c r="Z20" i="38"/>
  <c r="Y8" i="61"/>
  <c r="Y6" i="22"/>
  <c r="Y6" i="48"/>
  <c r="Y6" i="49"/>
  <c r="Y6" i="50"/>
  <c r="U6" i="61"/>
  <c r="U4" i="48"/>
  <c r="U4" i="49"/>
  <c r="U4" i="50"/>
  <c r="U4" i="22"/>
  <c r="S9" i="61"/>
  <c r="S7" i="48"/>
  <c r="S7" i="49"/>
  <c r="S7" i="50"/>
  <c r="S7" i="22"/>
  <c r="Q30" i="22"/>
  <c r="S8" i="22"/>
  <c r="S8" i="48"/>
  <c r="S8" i="49"/>
  <c r="S8" i="50"/>
  <c r="T21" i="38"/>
  <c r="V18" i="38"/>
  <c r="U17" i="38"/>
  <c r="T22" i="38"/>
  <c r="W17" i="22" l="1"/>
  <c r="Q46" i="22"/>
  <c r="P48" i="22"/>
  <c r="Y19" i="49"/>
  <c r="X16" i="65"/>
  <c r="X17" i="65" s="1"/>
  <c r="X16" i="64"/>
  <c r="X17" i="64" s="1"/>
  <c r="X16" i="63"/>
  <c r="X17" i="63" s="1"/>
  <c r="X16" i="22"/>
  <c r="X17" i="22" s="1"/>
  <c r="H15" i="22"/>
  <c r="Z6" i="64"/>
  <c r="Z6" i="65"/>
  <c r="Z6" i="63"/>
  <c r="U3" i="64"/>
  <c r="U3" i="65"/>
  <c r="U3" i="63"/>
  <c r="W17" i="65"/>
  <c r="H15" i="65"/>
  <c r="V4" i="65"/>
  <c r="V4" i="63"/>
  <c r="V4" i="64"/>
  <c r="R30" i="65"/>
  <c r="W17" i="64"/>
  <c r="H15" i="64"/>
  <c r="T7" i="65"/>
  <c r="T7" i="63"/>
  <c r="T7" i="64"/>
  <c r="W17" i="63"/>
  <c r="H15" i="63"/>
  <c r="S28" i="65"/>
  <c r="S29" i="65"/>
  <c r="S29" i="64"/>
  <c r="S30" i="64" s="1"/>
  <c r="T29" i="64"/>
  <c r="T8" i="65"/>
  <c r="T10" i="61"/>
  <c r="S29" i="63"/>
  <c r="S28" i="63"/>
  <c r="R30" i="63"/>
  <c r="U5" i="61"/>
  <c r="U3" i="49"/>
  <c r="U3" i="48"/>
  <c r="U3" i="50"/>
  <c r="U3" i="22"/>
  <c r="U45" i="22" s="1"/>
  <c r="AA20" i="38"/>
  <c r="Z8" i="61"/>
  <c r="Z6" i="48"/>
  <c r="Z6" i="49"/>
  <c r="Z6" i="50"/>
  <c r="Z6" i="22"/>
  <c r="R30" i="22"/>
  <c r="V6" i="61"/>
  <c r="V4" i="49"/>
  <c r="V4" i="48"/>
  <c r="V4" i="50"/>
  <c r="V4" i="22"/>
  <c r="S29" i="22"/>
  <c r="S28" i="22"/>
  <c r="T9" i="61"/>
  <c r="T7" i="49"/>
  <c r="T7" i="50"/>
  <c r="T7" i="48"/>
  <c r="T7" i="22"/>
  <c r="T8" i="49"/>
  <c r="T8" i="48"/>
  <c r="T8" i="22"/>
  <c r="T8" i="50"/>
  <c r="U21" i="38"/>
  <c r="V17" i="38"/>
  <c r="U22" i="38"/>
  <c r="W18" i="38"/>
  <c r="Z19" i="49" l="1"/>
  <c r="Y16" i="65"/>
  <c r="Y17" i="65" s="1"/>
  <c r="Y16" i="64"/>
  <c r="Y17" i="64" s="1"/>
  <c r="Y16" i="63"/>
  <c r="Y17" i="63" s="1"/>
  <c r="Y16" i="22"/>
  <c r="Y17" i="22" s="1"/>
  <c r="R46" i="22"/>
  <c r="Q48" i="22"/>
  <c r="V3" i="64"/>
  <c r="V3" i="65"/>
  <c r="V3" i="63"/>
  <c r="AA6" i="64"/>
  <c r="AA6" i="65"/>
  <c r="AA6" i="63"/>
  <c r="W4" i="65"/>
  <c r="W4" i="64"/>
  <c r="W4" i="63"/>
  <c r="U7" i="63"/>
  <c r="U7" i="64"/>
  <c r="U7" i="65"/>
  <c r="T28" i="64"/>
  <c r="T30" i="64" s="1"/>
  <c r="T29" i="65"/>
  <c r="T28" i="65"/>
  <c r="U28" i="64"/>
  <c r="U8" i="65"/>
  <c r="S30" i="65"/>
  <c r="U10" i="61"/>
  <c r="S30" i="63"/>
  <c r="T28" i="63"/>
  <c r="T29" i="63"/>
  <c r="AB20" i="38"/>
  <c r="AA8" i="61"/>
  <c r="AA6" i="49"/>
  <c r="AA6" i="48"/>
  <c r="AA6" i="50"/>
  <c r="AA6" i="22"/>
  <c r="T29" i="22"/>
  <c r="T28" i="22"/>
  <c r="S30" i="22"/>
  <c r="W6" i="61"/>
  <c r="W4" i="49"/>
  <c r="W4" i="50"/>
  <c r="W4" i="22"/>
  <c r="W4" i="48"/>
  <c r="U9" i="61"/>
  <c r="U7" i="49"/>
  <c r="U7" i="50"/>
  <c r="U7" i="22"/>
  <c r="U7" i="48"/>
  <c r="V5" i="61"/>
  <c r="V3" i="49"/>
  <c r="V3" i="50"/>
  <c r="V3" i="48"/>
  <c r="V3" i="22"/>
  <c r="V45" i="22" s="1"/>
  <c r="U8" i="49"/>
  <c r="U8" i="50"/>
  <c r="U8" i="48"/>
  <c r="U8" i="22"/>
  <c r="V21" i="38"/>
  <c r="X18" i="38"/>
  <c r="W17" i="38"/>
  <c r="V22" i="38"/>
  <c r="T30" i="65" l="1"/>
  <c r="S46" i="22"/>
  <c r="R48" i="22"/>
  <c r="AA19" i="49"/>
  <c r="Z16" i="63"/>
  <c r="Z17" i="63" s="1"/>
  <c r="Z16" i="65"/>
  <c r="Z17" i="65" s="1"/>
  <c r="Z16" i="64"/>
  <c r="Z17" i="64" s="1"/>
  <c r="Z16" i="22"/>
  <c r="Z17" i="22" s="1"/>
  <c r="X4" i="64"/>
  <c r="X4" i="65"/>
  <c r="X4" i="63"/>
  <c r="U29" i="64"/>
  <c r="U30" i="64" s="1"/>
  <c r="V7" i="63"/>
  <c r="V7" i="64"/>
  <c r="V7" i="65"/>
  <c r="AB6" i="65"/>
  <c r="AB6" i="64"/>
  <c r="AB6" i="63"/>
  <c r="W3" i="65"/>
  <c r="W3" i="63"/>
  <c r="W3" i="64"/>
  <c r="U28" i="65"/>
  <c r="U29" i="65"/>
  <c r="V8" i="65"/>
  <c r="V29" i="64"/>
  <c r="V28" i="64"/>
  <c r="T30" i="63"/>
  <c r="U28" i="63"/>
  <c r="U29" i="63"/>
  <c r="V10" i="61"/>
  <c r="W5" i="61"/>
  <c r="W3" i="49"/>
  <c r="W3" i="50"/>
  <c r="W3" i="22"/>
  <c r="W45" i="22" s="1"/>
  <c r="W3" i="48"/>
  <c r="T30" i="22"/>
  <c r="V9" i="61"/>
  <c r="V7" i="49"/>
  <c r="V7" i="50"/>
  <c r="V7" i="22"/>
  <c r="V7" i="48"/>
  <c r="U29" i="22"/>
  <c r="U28" i="22"/>
  <c r="X6" i="61"/>
  <c r="X4" i="49"/>
  <c r="X4" i="50"/>
  <c r="X4" i="22"/>
  <c r="X4" i="48"/>
  <c r="AC20" i="38"/>
  <c r="AB8" i="61"/>
  <c r="AB6" i="49"/>
  <c r="AB6" i="48"/>
  <c r="AB6" i="50"/>
  <c r="AB6" i="22"/>
  <c r="V8" i="49"/>
  <c r="V8" i="50"/>
  <c r="V8" i="22"/>
  <c r="V8" i="48"/>
  <c r="W21" i="38"/>
  <c r="X17" i="38"/>
  <c r="W22" i="38"/>
  <c r="Y18" i="38"/>
  <c r="T46" i="22" l="1"/>
  <c r="S48" i="22"/>
  <c r="AB19" i="49"/>
  <c r="AA16" i="65"/>
  <c r="AA17" i="65" s="1"/>
  <c r="AA16" i="64"/>
  <c r="AA17" i="64" s="1"/>
  <c r="AA16" i="63"/>
  <c r="AA17" i="63" s="1"/>
  <c r="AA16" i="22"/>
  <c r="AA17" i="22" s="1"/>
  <c r="X3" i="65"/>
  <c r="X3" i="63"/>
  <c r="X3" i="64"/>
  <c r="AC6" i="65"/>
  <c r="AC6" i="64"/>
  <c r="AC6" i="63"/>
  <c r="W7" i="63"/>
  <c r="W7" i="64"/>
  <c r="W7" i="65"/>
  <c r="Y4" i="63"/>
  <c r="Y4" i="64"/>
  <c r="Y4" i="65"/>
  <c r="V28" i="65"/>
  <c r="V29" i="65"/>
  <c r="W28" i="64"/>
  <c r="W8" i="65"/>
  <c r="U30" i="65"/>
  <c r="V30" i="64"/>
  <c r="V28" i="63"/>
  <c r="V29" i="63"/>
  <c r="U30" i="63"/>
  <c r="W10" i="61"/>
  <c r="X5" i="61"/>
  <c r="X3" i="49"/>
  <c r="X3" i="50"/>
  <c r="X3" i="22"/>
  <c r="X45" i="22" s="1"/>
  <c r="X3" i="48"/>
  <c r="W9" i="61"/>
  <c r="W7" i="50"/>
  <c r="W7" i="22"/>
  <c r="W7" i="48"/>
  <c r="W7" i="49"/>
  <c r="V29" i="22"/>
  <c r="V28" i="22"/>
  <c r="Y6" i="61"/>
  <c r="Y4" i="50"/>
  <c r="Y4" i="22"/>
  <c r="Y4" i="48"/>
  <c r="Y4" i="49"/>
  <c r="U30" i="22"/>
  <c r="AD20" i="38"/>
  <c r="AC8" i="61"/>
  <c r="AC6" i="49"/>
  <c r="AC6" i="50"/>
  <c r="AC6" i="22"/>
  <c r="AC6" i="48"/>
  <c r="N35" i="61"/>
  <c r="N36" i="61"/>
  <c r="W8" i="49"/>
  <c r="W8" i="50"/>
  <c r="W8" i="22"/>
  <c r="W8" i="48"/>
  <c r="X21" i="38"/>
  <c r="Z18" i="38"/>
  <c r="Y17" i="38"/>
  <c r="X22" i="38"/>
  <c r="N88" i="61" l="1"/>
  <c r="N98" i="61"/>
  <c r="N106" i="61"/>
  <c r="N62" i="61"/>
  <c r="N80" i="61"/>
  <c r="N44" i="61"/>
  <c r="N70" i="61"/>
  <c r="N52" i="61"/>
  <c r="N124" i="61" s="1"/>
  <c r="N104" i="61"/>
  <c r="N78" i="61"/>
  <c r="N87" i="61"/>
  <c r="N86" i="61"/>
  <c r="N97" i="61"/>
  <c r="N61" i="61"/>
  <c r="N105" i="61"/>
  <c r="N60" i="61"/>
  <c r="N68" i="61"/>
  <c r="N96" i="61"/>
  <c r="N43" i="61"/>
  <c r="N69" i="61"/>
  <c r="N42" i="61"/>
  <c r="N50" i="61"/>
  <c r="N79" i="61"/>
  <c r="N51" i="61"/>
  <c r="N123" i="61" s="1"/>
  <c r="M107" i="61"/>
  <c r="U46" i="22"/>
  <c r="T48" i="22"/>
  <c r="AC19" i="49"/>
  <c r="AB16" i="65"/>
  <c r="AB17" i="65" s="1"/>
  <c r="AB16" i="64"/>
  <c r="AB17" i="64" s="1"/>
  <c r="AB16" i="63"/>
  <c r="AB17" i="63" s="1"/>
  <c r="AB16" i="22"/>
  <c r="AB17" i="22" s="1"/>
  <c r="AD6" i="64"/>
  <c r="AD6" i="65"/>
  <c r="AD6" i="63"/>
  <c r="W29" i="64"/>
  <c r="W30" i="64" s="1"/>
  <c r="X7" i="63"/>
  <c r="X7" i="64"/>
  <c r="X7" i="65"/>
  <c r="Y3" i="63"/>
  <c r="Y3" i="64"/>
  <c r="Y3" i="65"/>
  <c r="Z4" i="63"/>
  <c r="Z4" i="64"/>
  <c r="Z4" i="65"/>
  <c r="W29" i="65"/>
  <c r="W28" i="65"/>
  <c r="X28" i="64"/>
  <c r="X8" i="65"/>
  <c r="V30" i="65"/>
  <c r="V30" i="63"/>
  <c r="W29" i="63"/>
  <c r="W28" i="63"/>
  <c r="X10" i="61"/>
  <c r="X9" i="61"/>
  <c r="X7" i="22"/>
  <c r="X7" i="49"/>
  <c r="X7" i="50"/>
  <c r="X7" i="48"/>
  <c r="Z6" i="61"/>
  <c r="Z4" i="50"/>
  <c r="Z4" i="22"/>
  <c r="Z4" i="49"/>
  <c r="Z4" i="48"/>
  <c r="W29" i="22"/>
  <c r="W28" i="22"/>
  <c r="AE20" i="38"/>
  <c r="AD8" i="61"/>
  <c r="AD6" i="49"/>
  <c r="AD6" i="50"/>
  <c r="AD6" i="22"/>
  <c r="AD6" i="48"/>
  <c r="V30" i="22"/>
  <c r="O36" i="61"/>
  <c r="Y5" i="61"/>
  <c r="Y3" i="49"/>
  <c r="Y3" i="48"/>
  <c r="Y3" i="50"/>
  <c r="Y3" i="22"/>
  <c r="Y45" i="22" s="1"/>
  <c r="AR26" i="50"/>
  <c r="AG29" i="50"/>
  <c r="O35" i="61"/>
  <c r="X8" i="48"/>
  <c r="X8" i="50"/>
  <c r="X8" i="22"/>
  <c r="X8" i="49"/>
  <c r="Y21" i="38"/>
  <c r="Z17" i="38"/>
  <c r="Y22" i="38"/>
  <c r="AA18" i="38"/>
  <c r="N122" i="61" l="1"/>
  <c r="N29" i="50" s="1"/>
  <c r="L29" i="50" s="1"/>
  <c r="N133" i="61"/>
  <c r="N140" i="61"/>
  <c r="N142" i="61"/>
  <c r="N116" i="61"/>
  <c r="N114" i="61"/>
  <c r="N26" i="50" s="1"/>
  <c r="L26" i="50" s="1"/>
  <c r="N134" i="61"/>
  <c r="N44" i="50"/>
  <c r="L44" i="50" s="1"/>
  <c r="N132" i="61"/>
  <c r="N141" i="61"/>
  <c r="N115" i="61"/>
  <c r="O105" i="61"/>
  <c r="O79" i="61"/>
  <c r="O104" i="61"/>
  <c r="O78" i="61"/>
  <c r="O87" i="61"/>
  <c r="O86" i="61"/>
  <c r="O50" i="61"/>
  <c r="O69" i="61"/>
  <c r="O61" i="61"/>
  <c r="O60" i="61"/>
  <c r="O96" i="61"/>
  <c r="O43" i="61"/>
  <c r="O97" i="61"/>
  <c r="O42" i="61"/>
  <c r="O68" i="61"/>
  <c r="O51" i="61"/>
  <c r="O88" i="61"/>
  <c r="O98" i="61"/>
  <c r="O106" i="61"/>
  <c r="O62" i="61"/>
  <c r="O80" i="61"/>
  <c r="O44" i="61"/>
  <c r="O70" i="61"/>
  <c r="O52" i="61"/>
  <c r="N38" i="50"/>
  <c r="L38" i="50" s="1"/>
  <c r="O38" i="50"/>
  <c r="M108" i="61"/>
  <c r="M143" i="61"/>
  <c r="W29" i="50"/>
  <c r="AQ29" i="50"/>
  <c r="M99" i="61"/>
  <c r="M135" i="61" s="1"/>
  <c r="AR29" i="50"/>
  <c r="AR32" i="50" s="1"/>
  <c r="M82" i="61"/>
  <c r="M46" i="61"/>
  <c r="N45" i="61"/>
  <c r="AR53" i="61"/>
  <c r="AQ26" i="50"/>
  <c r="W45" i="61"/>
  <c r="W26" i="50"/>
  <c r="AG26" i="50"/>
  <c r="AG32" i="50" s="1"/>
  <c r="AD19" i="49"/>
  <c r="AC16" i="65"/>
  <c r="AC17" i="65" s="1"/>
  <c r="AC16" i="64"/>
  <c r="AC17" i="64" s="1"/>
  <c r="AC16" i="63"/>
  <c r="AC17" i="63" s="1"/>
  <c r="AC16" i="22"/>
  <c r="AC17" i="22" s="1"/>
  <c r="V46" i="22"/>
  <c r="U48" i="22"/>
  <c r="M64" i="61"/>
  <c r="M53" i="61"/>
  <c r="M125" i="61" s="1"/>
  <c r="W30" i="65"/>
  <c r="X29" i="64"/>
  <c r="X30" i="64" s="1"/>
  <c r="AA4" i="63"/>
  <c r="AA4" i="64"/>
  <c r="AA4" i="65"/>
  <c r="AE6" i="65"/>
  <c r="AE6" i="63"/>
  <c r="AE6" i="64"/>
  <c r="Z3" i="65"/>
  <c r="Z3" i="63"/>
  <c r="Z3" i="64"/>
  <c r="Y7" i="64"/>
  <c r="Y7" i="65"/>
  <c r="Y7" i="63"/>
  <c r="X28" i="65"/>
  <c r="X29" i="65"/>
  <c r="Y28" i="64"/>
  <c r="Y8" i="65"/>
  <c r="W53" i="61"/>
  <c r="W63" i="61"/>
  <c r="X28" i="63"/>
  <c r="X29" i="63"/>
  <c r="AR71" i="61"/>
  <c r="W30" i="63"/>
  <c r="Y10" i="61"/>
  <c r="AG63" i="61"/>
  <c r="P35" i="61"/>
  <c r="AQ45" i="61"/>
  <c r="AQ63" i="61"/>
  <c r="AR45" i="61"/>
  <c r="AR63" i="61"/>
  <c r="N53" i="61"/>
  <c r="AQ53" i="61"/>
  <c r="AG53" i="61"/>
  <c r="AQ71" i="61"/>
  <c r="P36" i="61"/>
  <c r="AF20" i="38"/>
  <c r="AE8" i="61"/>
  <c r="AE6" i="49"/>
  <c r="AE6" i="48"/>
  <c r="AE6" i="50"/>
  <c r="AE6" i="22"/>
  <c r="N71" i="61"/>
  <c r="Z5" i="61"/>
  <c r="Z3" i="50"/>
  <c r="Z3" i="48"/>
  <c r="Z3" i="22"/>
  <c r="Z45" i="22" s="1"/>
  <c r="Z3" i="49"/>
  <c r="N63" i="61"/>
  <c r="W30" i="22"/>
  <c r="Y9" i="61"/>
  <c r="Y7" i="48"/>
  <c r="Y7" i="49"/>
  <c r="Y7" i="50"/>
  <c r="Y7" i="22"/>
  <c r="AG45" i="61"/>
  <c r="AA6" i="61"/>
  <c r="AA4" i="22"/>
  <c r="AA4" i="48"/>
  <c r="AA4" i="49"/>
  <c r="AA4" i="50"/>
  <c r="X29" i="22"/>
  <c r="X28" i="22"/>
  <c r="AG71" i="61"/>
  <c r="W71" i="61"/>
  <c r="Y8" i="50"/>
  <c r="Y8" i="48"/>
  <c r="Y8" i="22"/>
  <c r="Y8" i="49"/>
  <c r="Z21" i="38"/>
  <c r="AB18" i="38"/>
  <c r="AA17" i="38"/>
  <c r="Z22" i="38"/>
  <c r="O123" i="61" l="1"/>
  <c r="O141" i="61"/>
  <c r="O142" i="61"/>
  <c r="O140" i="61"/>
  <c r="O114" i="61"/>
  <c r="O26" i="50" s="1"/>
  <c r="W32" i="50"/>
  <c r="O124" i="61"/>
  <c r="AQ32" i="50"/>
  <c r="O122" i="61"/>
  <c r="O29" i="50" s="1"/>
  <c r="N32" i="50"/>
  <c r="L32" i="50" s="1"/>
  <c r="O133" i="61"/>
  <c r="AQ45" i="50"/>
  <c r="AQ46" i="50" s="1"/>
  <c r="W46" i="61"/>
  <c r="P106" i="61"/>
  <c r="P80" i="61"/>
  <c r="P88" i="61"/>
  <c r="P62" i="61"/>
  <c r="P98" i="61"/>
  <c r="P44" i="61"/>
  <c r="P52" i="61"/>
  <c r="P70" i="61"/>
  <c r="W64" i="61"/>
  <c r="W45" i="50"/>
  <c r="W46" i="50" s="1"/>
  <c r="O116" i="61"/>
  <c r="O44" i="50"/>
  <c r="O132" i="61"/>
  <c r="P105" i="61"/>
  <c r="P79" i="61"/>
  <c r="P104" i="61"/>
  <c r="P78" i="61"/>
  <c r="P87" i="61"/>
  <c r="P86" i="61"/>
  <c r="P97" i="61"/>
  <c r="P51" i="61"/>
  <c r="P50" i="61"/>
  <c r="P96" i="61"/>
  <c r="P61" i="61"/>
  <c r="P60" i="61"/>
  <c r="P43" i="61"/>
  <c r="P42" i="61"/>
  <c r="P69" i="61"/>
  <c r="P68" i="61"/>
  <c r="AR54" i="61"/>
  <c r="AG64" i="61"/>
  <c r="AG45" i="50"/>
  <c r="AG46" i="50" s="1"/>
  <c r="O134" i="61"/>
  <c r="O115" i="61"/>
  <c r="P38" i="50"/>
  <c r="AR45" i="50"/>
  <c r="AR46" i="50" s="1"/>
  <c r="N45" i="50"/>
  <c r="L45" i="50" s="1"/>
  <c r="M118" i="61"/>
  <c r="M54" i="61"/>
  <c r="AR72" i="61"/>
  <c r="W72" i="61"/>
  <c r="AG72" i="61"/>
  <c r="N72" i="61"/>
  <c r="AQ72" i="61"/>
  <c r="M72" i="61"/>
  <c r="M144" i="61" s="1"/>
  <c r="W46" i="22"/>
  <c r="V48" i="22"/>
  <c r="AE19" i="49"/>
  <c r="AD16" i="63"/>
  <c r="AD17" i="63" s="1"/>
  <c r="AD16" i="65"/>
  <c r="AD17" i="65" s="1"/>
  <c r="AD16" i="64"/>
  <c r="AD17" i="64" s="1"/>
  <c r="AD16" i="22"/>
  <c r="AD17" i="22" s="1"/>
  <c r="W54" i="61"/>
  <c r="X30" i="65"/>
  <c r="AB4" i="64"/>
  <c r="AB4" i="65"/>
  <c r="AB4" i="63"/>
  <c r="Z7" i="64"/>
  <c r="Z7" i="65"/>
  <c r="Z7" i="63"/>
  <c r="Y29" i="64"/>
  <c r="Y30" i="64" s="1"/>
  <c r="O63" i="61"/>
  <c r="AF6" i="63"/>
  <c r="AF6" i="64"/>
  <c r="AF6" i="65"/>
  <c r="AA3" i="63"/>
  <c r="AA3" i="64"/>
  <c r="AA3" i="65"/>
  <c r="Y28" i="65"/>
  <c r="Y29" i="65"/>
  <c r="Z8" i="65"/>
  <c r="O45" i="61"/>
  <c r="Z28" i="64"/>
  <c r="Z29" i="64"/>
  <c r="Z10" i="61"/>
  <c r="Y28" i="63"/>
  <c r="Y29" i="63"/>
  <c r="X30" i="63"/>
  <c r="X30" i="22"/>
  <c r="O71" i="61"/>
  <c r="Q36" i="61"/>
  <c r="Y28" i="22"/>
  <c r="Y29" i="22"/>
  <c r="AR46" i="61"/>
  <c r="AQ64" i="61"/>
  <c r="AG20" i="38"/>
  <c r="AF8" i="61"/>
  <c r="AF6" i="50"/>
  <c r="AF6" i="22"/>
  <c r="AF6" i="48"/>
  <c r="AF6" i="49"/>
  <c r="AQ54" i="61"/>
  <c r="AQ46" i="61"/>
  <c r="AA5" i="61"/>
  <c r="AA3" i="50"/>
  <c r="AA3" i="22"/>
  <c r="AA45" i="22" s="1"/>
  <c r="AA3" i="48"/>
  <c r="AA3" i="49"/>
  <c r="N46" i="61"/>
  <c r="N54" i="61"/>
  <c r="Q35" i="61"/>
  <c r="AB6" i="61"/>
  <c r="AB4" i="48"/>
  <c r="AB4" i="49"/>
  <c r="AB4" i="50"/>
  <c r="AB4" i="22"/>
  <c r="N64" i="61"/>
  <c r="AG54" i="61"/>
  <c r="AR64" i="61"/>
  <c r="Z9" i="61"/>
  <c r="Z7" i="48"/>
  <c r="Z7" i="49"/>
  <c r="Z7" i="50"/>
  <c r="Z7" i="22"/>
  <c r="AG46" i="61"/>
  <c r="O53" i="61"/>
  <c r="Z8" i="22"/>
  <c r="Z8" i="48"/>
  <c r="Z8" i="49"/>
  <c r="Z8" i="50"/>
  <c r="AA21" i="38"/>
  <c r="AB17" i="38"/>
  <c r="AA22" i="38"/>
  <c r="AC18" i="38"/>
  <c r="P133" i="61" l="1"/>
  <c r="N46" i="50"/>
  <c r="L46" i="50" s="1"/>
  <c r="P115" i="61"/>
  <c r="Q38" i="50"/>
  <c r="P124" i="61"/>
  <c r="P122" i="61"/>
  <c r="P29" i="50" s="1"/>
  <c r="P116" i="61"/>
  <c r="P132" i="61"/>
  <c r="P44" i="50"/>
  <c r="Q106" i="61"/>
  <c r="Q80" i="61"/>
  <c r="Q88" i="61"/>
  <c r="Q52" i="61"/>
  <c r="Q62" i="61"/>
  <c r="Q98" i="61"/>
  <c r="Q70" i="61"/>
  <c r="Q44" i="61"/>
  <c r="P134" i="61"/>
  <c r="P140" i="61"/>
  <c r="P123" i="61"/>
  <c r="O64" i="61"/>
  <c r="O45" i="50"/>
  <c r="O46" i="50" s="1"/>
  <c r="O22" i="22" s="1"/>
  <c r="O35" i="22" s="1"/>
  <c r="P141" i="61"/>
  <c r="Q96" i="61"/>
  <c r="Q105" i="61"/>
  <c r="Q79" i="61"/>
  <c r="Q104" i="61"/>
  <c r="Q78" i="61"/>
  <c r="Q87" i="61"/>
  <c r="Q68" i="61"/>
  <c r="Q97" i="61"/>
  <c r="Q51" i="61"/>
  <c r="Q123" i="61" s="1"/>
  <c r="Q50" i="61"/>
  <c r="Q61" i="61"/>
  <c r="Q43" i="61"/>
  <c r="Q69" i="61"/>
  <c r="Q60" i="61"/>
  <c r="Q86" i="61"/>
  <c r="Q42" i="61"/>
  <c r="P114" i="61"/>
  <c r="P26" i="50" s="1"/>
  <c r="P142" i="61"/>
  <c r="O32" i="50"/>
  <c r="O46" i="61"/>
  <c r="O72" i="61"/>
  <c r="N107" i="61"/>
  <c r="N143" i="61" s="1"/>
  <c r="N99" i="61"/>
  <c r="N89" i="61"/>
  <c r="N125" i="61" s="1"/>
  <c r="N30" i="50" s="1"/>
  <c r="N81" i="61"/>
  <c r="AG89" i="61"/>
  <c r="AG125" i="61" s="1"/>
  <c r="AG81" i="61"/>
  <c r="AG99" i="61"/>
  <c r="AG107" i="61"/>
  <c r="AG143" i="61" s="1"/>
  <c r="M90" i="61"/>
  <c r="M126" i="61" s="1"/>
  <c r="M100" i="61"/>
  <c r="M136" i="61" s="1"/>
  <c r="W81" i="61"/>
  <c r="W89" i="61"/>
  <c r="W125" i="61" s="1"/>
  <c r="W107" i="61"/>
  <c r="W143" i="61" s="1"/>
  <c r="W99" i="61"/>
  <c r="AQ81" i="61"/>
  <c r="AQ107" i="61"/>
  <c r="AQ143" i="61" s="1"/>
  <c r="AQ99" i="61"/>
  <c r="AQ89" i="61"/>
  <c r="AQ125" i="61" s="1"/>
  <c r="AR89" i="61"/>
  <c r="AR81" i="61"/>
  <c r="AR107" i="61"/>
  <c r="AR143" i="61" s="1"/>
  <c r="AR99" i="61"/>
  <c r="AF19" i="49"/>
  <c r="AE16" i="65"/>
  <c r="AE17" i="65" s="1"/>
  <c r="AE16" i="64"/>
  <c r="AE17" i="64" s="1"/>
  <c r="AE16" i="63"/>
  <c r="AE17" i="63" s="1"/>
  <c r="AE16" i="22"/>
  <c r="AE17" i="22" s="1"/>
  <c r="X46" i="22"/>
  <c r="W48" i="22"/>
  <c r="AB3" i="63"/>
  <c r="AB3" i="64"/>
  <c r="AB3" i="65"/>
  <c r="AG6" i="63"/>
  <c r="AG6" i="64"/>
  <c r="AG6" i="65"/>
  <c r="Z30" i="64"/>
  <c r="AA7" i="63"/>
  <c r="AA7" i="65"/>
  <c r="AA7" i="64"/>
  <c r="AC4" i="64"/>
  <c r="AC4" i="65"/>
  <c r="AC4" i="63"/>
  <c r="Z28" i="65"/>
  <c r="Z29" i="65"/>
  <c r="AA8" i="65"/>
  <c r="N22" i="64"/>
  <c r="N35" i="64" s="1"/>
  <c r="N22" i="65"/>
  <c r="Y30" i="65"/>
  <c r="AA29" i="64"/>
  <c r="AA28" i="64"/>
  <c r="AA10" i="61"/>
  <c r="Y30" i="63"/>
  <c r="Z28" i="63"/>
  <c r="Z29" i="63"/>
  <c r="N22" i="22"/>
  <c r="N35" i="22" s="1"/>
  <c r="N22" i="63"/>
  <c r="P45" i="61"/>
  <c r="O54" i="61"/>
  <c r="P53" i="61"/>
  <c r="AC6" i="61"/>
  <c r="AC4" i="48"/>
  <c r="AC4" i="49"/>
  <c r="AC4" i="50"/>
  <c r="AC4" i="22"/>
  <c r="AB5" i="61"/>
  <c r="AB3" i="22"/>
  <c r="AB45" i="22" s="1"/>
  <c r="AB3" i="48"/>
  <c r="AB3" i="49"/>
  <c r="AB3" i="50"/>
  <c r="AH20" i="38"/>
  <c r="AG8" i="61"/>
  <c r="AG6" i="22"/>
  <c r="AG6" i="48"/>
  <c r="AG6" i="49"/>
  <c r="AG6" i="50"/>
  <c r="P63" i="61"/>
  <c r="R35" i="61"/>
  <c r="R36" i="61"/>
  <c r="P71" i="61"/>
  <c r="AA9" i="61"/>
  <c r="AA7" i="48"/>
  <c r="AA7" i="49"/>
  <c r="AA7" i="50"/>
  <c r="AA7" i="22"/>
  <c r="Y30" i="22"/>
  <c r="Z29" i="22"/>
  <c r="Z28" i="22"/>
  <c r="AA8" i="22"/>
  <c r="AA8" i="48"/>
  <c r="AA8" i="49"/>
  <c r="AA8" i="50"/>
  <c r="AB21" i="38"/>
  <c r="AC17" i="38"/>
  <c r="AB22" i="38"/>
  <c r="AD18" i="38"/>
  <c r="Q122" i="61" l="1"/>
  <c r="Q29" i="50" s="1"/>
  <c r="Q133" i="61"/>
  <c r="Q140" i="61"/>
  <c r="Q114" i="61"/>
  <c r="Q26" i="50" s="1"/>
  <c r="Q124" i="61"/>
  <c r="P32" i="50"/>
  <c r="Q142" i="61"/>
  <c r="AQ82" i="61"/>
  <c r="AQ118" i="61" s="1"/>
  <c r="AR39" i="50"/>
  <c r="AR40" i="50" s="1"/>
  <c r="AQ117" i="61"/>
  <c r="AG100" i="61"/>
  <c r="AG136" i="61" s="1"/>
  <c r="AG135" i="61"/>
  <c r="Q134" i="61"/>
  <c r="AR100" i="61"/>
  <c r="AR136" i="61" s="1"/>
  <c r="AR135" i="61"/>
  <c r="W100" i="61"/>
  <c r="W136" i="61" s="1"/>
  <c r="W135" i="61"/>
  <c r="AG82" i="61"/>
  <c r="AG118" i="61" s="1"/>
  <c r="AH39" i="50"/>
  <c r="AG117" i="61"/>
  <c r="P45" i="50"/>
  <c r="P46" i="50" s="1"/>
  <c r="AQ100" i="61"/>
  <c r="AQ136" i="61" s="1"/>
  <c r="AQ135" i="61"/>
  <c r="AR82" i="61"/>
  <c r="AR118" i="61" s="1"/>
  <c r="AR117" i="61"/>
  <c r="N82" i="61"/>
  <c r="N118" i="61" s="1"/>
  <c r="N39" i="50"/>
  <c r="O39" i="50"/>
  <c r="O40" i="50" s="1"/>
  <c r="O21" i="64" s="1"/>
  <c r="O34" i="64" s="1"/>
  <c r="N117" i="61"/>
  <c r="N27" i="50" s="1"/>
  <c r="Q132" i="61"/>
  <c r="Q44" i="50"/>
  <c r="R106" i="61"/>
  <c r="R80" i="61"/>
  <c r="R88" i="61"/>
  <c r="R52" i="61"/>
  <c r="R98" i="61"/>
  <c r="R62" i="61"/>
  <c r="R44" i="61"/>
  <c r="R70" i="61"/>
  <c r="AR90" i="61"/>
  <c r="AR126" i="61" s="1"/>
  <c r="AR125" i="61"/>
  <c r="W82" i="61"/>
  <c r="W118" i="61" s="1"/>
  <c r="X39" i="50"/>
  <c r="W117" i="61"/>
  <c r="L30" i="50"/>
  <c r="N31" i="50"/>
  <c r="Q141" i="61"/>
  <c r="R38" i="50"/>
  <c r="R97" i="61"/>
  <c r="R96" i="61"/>
  <c r="R105" i="61"/>
  <c r="R79" i="61"/>
  <c r="R104" i="61"/>
  <c r="R78" i="61"/>
  <c r="R86" i="61"/>
  <c r="R69" i="61"/>
  <c r="R42" i="61"/>
  <c r="R68" i="61"/>
  <c r="R51" i="61"/>
  <c r="R87" i="61"/>
  <c r="R50" i="61"/>
  <c r="R60" i="61"/>
  <c r="R61" i="61"/>
  <c r="R43" i="61"/>
  <c r="N100" i="61"/>
  <c r="N136" i="61" s="1"/>
  <c r="N135" i="61"/>
  <c r="Q115" i="61"/>
  <c r="Q116" i="61"/>
  <c r="AQ90" i="61"/>
  <c r="AQ126" i="61" s="1"/>
  <c r="AG90" i="61"/>
  <c r="AG126" i="61" s="1"/>
  <c r="W90" i="61"/>
  <c r="W126" i="61" s="1"/>
  <c r="N90" i="61"/>
  <c r="N126" i="61" s="1"/>
  <c r="N108" i="61"/>
  <c r="N144" i="61" s="1"/>
  <c r="AQ108" i="61"/>
  <c r="AQ144" i="61" s="1"/>
  <c r="AR108" i="61"/>
  <c r="AR144" i="61" s="1"/>
  <c r="P72" i="61"/>
  <c r="W108" i="61"/>
  <c r="W144" i="61" s="1"/>
  <c r="AG108" i="61"/>
  <c r="AG144" i="61" s="1"/>
  <c r="O81" i="61"/>
  <c r="O107" i="61"/>
  <c r="O143" i="61" s="1"/>
  <c r="O99" i="61"/>
  <c r="Y46" i="22"/>
  <c r="X48" i="22"/>
  <c r="AG19" i="49"/>
  <c r="AF16" i="65"/>
  <c r="AF17" i="65" s="1"/>
  <c r="AF16" i="64"/>
  <c r="AF17" i="64" s="1"/>
  <c r="AF16" i="63"/>
  <c r="AF17" i="63" s="1"/>
  <c r="AF16" i="22"/>
  <c r="AF17" i="22" s="1"/>
  <c r="O22" i="65"/>
  <c r="O35" i="65" s="1"/>
  <c r="O22" i="63"/>
  <c r="O35" i="63" s="1"/>
  <c r="O22" i="64"/>
  <c r="O35" i="64" s="1"/>
  <c r="AB7" i="65"/>
  <c r="AB7" i="64"/>
  <c r="AB7" i="63"/>
  <c r="AH6" i="64"/>
  <c r="AH6" i="65"/>
  <c r="AH6" i="63"/>
  <c r="AD4" i="65"/>
  <c r="AD4" i="63"/>
  <c r="AD4" i="64"/>
  <c r="AC3" i="64"/>
  <c r="AC3" i="65"/>
  <c r="AC3" i="63"/>
  <c r="Z30" i="63"/>
  <c r="Z30" i="65"/>
  <c r="AB28" i="64"/>
  <c r="AB8" i="65"/>
  <c r="N35" i="65"/>
  <c r="AA28" i="65"/>
  <c r="AA29" i="65"/>
  <c r="AA30" i="64"/>
  <c r="Q71" i="61"/>
  <c r="N35" i="63"/>
  <c r="AB10" i="61"/>
  <c r="AA28" i="63"/>
  <c r="AA29" i="63"/>
  <c r="Q53" i="61"/>
  <c r="Q63" i="61"/>
  <c r="Z30" i="22"/>
  <c r="P64" i="61"/>
  <c r="AI20" i="38"/>
  <c r="AH8" i="61"/>
  <c r="AH6" i="48"/>
  <c r="AH6" i="49"/>
  <c r="AH6" i="50"/>
  <c r="AH6" i="22"/>
  <c r="AA28" i="22"/>
  <c r="AA29" i="22"/>
  <c r="P46" i="61"/>
  <c r="S35" i="61"/>
  <c r="P54" i="61"/>
  <c r="Q45" i="61"/>
  <c r="AB9" i="61"/>
  <c r="AB7" i="49"/>
  <c r="AB7" i="50"/>
  <c r="AB7" i="48"/>
  <c r="AB7" i="22"/>
  <c r="AD6" i="61"/>
  <c r="AD4" i="49"/>
  <c r="AD4" i="48"/>
  <c r="AD4" i="50"/>
  <c r="AD4" i="22"/>
  <c r="AC5" i="61"/>
  <c r="AC3" i="49"/>
  <c r="AC3" i="48"/>
  <c r="AC3" i="50"/>
  <c r="AC3" i="22"/>
  <c r="AC45" i="22" s="1"/>
  <c r="S36" i="61"/>
  <c r="AB8" i="49"/>
  <c r="AB8" i="48"/>
  <c r="AB8" i="50"/>
  <c r="AB8" i="22"/>
  <c r="AC21" i="38"/>
  <c r="AE18" i="38"/>
  <c r="AD17" i="38"/>
  <c r="AC22" i="38"/>
  <c r="R133" i="61" l="1"/>
  <c r="R141" i="61"/>
  <c r="R115" i="61"/>
  <c r="R124" i="61"/>
  <c r="R116" i="61"/>
  <c r="R122" i="61"/>
  <c r="R29" i="50" s="1"/>
  <c r="R142" i="61"/>
  <c r="O100" i="61"/>
  <c r="O136" i="61" s="1"/>
  <c r="O135" i="61"/>
  <c r="R132" i="61"/>
  <c r="R44" i="50"/>
  <c r="S38" i="50"/>
  <c r="R134" i="61"/>
  <c r="N28" i="50"/>
  <c r="N34" i="50" s="1"/>
  <c r="N33" i="50"/>
  <c r="L33" i="50" s="1"/>
  <c r="L27" i="50"/>
  <c r="Q54" i="61"/>
  <c r="S98" i="61"/>
  <c r="S106" i="61"/>
  <c r="S80" i="61"/>
  <c r="S70" i="61"/>
  <c r="S52" i="61"/>
  <c r="S88" i="61"/>
  <c r="S44" i="61"/>
  <c r="S116" i="61" s="1"/>
  <c r="S62" i="61"/>
  <c r="R123" i="61"/>
  <c r="L39" i="50"/>
  <c r="N40" i="50"/>
  <c r="Q64" i="61"/>
  <c r="Q45" i="50"/>
  <c r="Q46" i="50" s="1"/>
  <c r="O82" i="61"/>
  <c r="O118" i="61" s="1"/>
  <c r="O117" i="61"/>
  <c r="R140" i="61"/>
  <c r="S97" i="61"/>
  <c r="S96" i="61"/>
  <c r="S105" i="61"/>
  <c r="S79" i="61"/>
  <c r="S43" i="61"/>
  <c r="S86" i="61"/>
  <c r="S69" i="61"/>
  <c r="S42" i="61"/>
  <c r="S104" i="61"/>
  <c r="S68" i="61"/>
  <c r="S78" i="61"/>
  <c r="S51" i="61"/>
  <c r="S87" i="61"/>
  <c r="S50" i="61"/>
  <c r="S122" i="61" s="1"/>
  <c r="S29" i="50" s="1"/>
  <c r="S60" i="61"/>
  <c r="S61" i="61"/>
  <c r="R114" i="61"/>
  <c r="R26" i="50" s="1"/>
  <c r="Q32" i="50"/>
  <c r="O21" i="65"/>
  <c r="O34" i="65" s="1"/>
  <c r="O21" i="22"/>
  <c r="O34" i="22" s="1"/>
  <c r="O21" i="63"/>
  <c r="O34" i="63" s="1"/>
  <c r="O108" i="61"/>
  <c r="O144" i="61" s="1"/>
  <c r="O89" i="61"/>
  <c r="O125" i="61" s="1"/>
  <c r="Q72" i="61"/>
  <c r="P107" i="61"/>
  <c r="P143" i="61" s="1"/>
  <c r="P99" i="61"/>
  <c r="P89" i="61"/>
  <c r="P125" i="61" s="1"/>
  <c r="AH19" i="49"/>
  <c r="AG16" i="65"/>
  <c r="AG17" i="65" s="1"/>
  <c r="AG16" i="64"/>
  <c r="AG17" i="64" s="1"/>
  <c r="AG16" i="63"/>
  <c r="AG17" i="63" s="1"/>
  <c r="AG16" i="22"/>
  <c r="AG17" i="22" s="1"/>
  <c r="Z46" i="22"/>
  <c r="Y48" i="22"/>
  <c r="AB29" i="64"/>
  <c r="AB30" i="64" s="1"/>
  <c r="AI6" i="64"/>
  <c r="AI6" i="65"/>
  <c r="AI6" i="63"/>
  <c r="AE4" i="65"/>
  <c r="AE4" i="63"/>
  <c r="AE4" i="64"/>
  <c r="AC7" i="63"/>
  <c r="AC7" i="64"/>
  <c r="AC7" i="65"/>
  <c r="AD3" i="64"/>
  <c r="AD3" i="65"/>
  <c r="AD3" i="63"/>
  <c r="AA30" i="65"/>
  <c r="AB29" i="65"/>
  <c r="AB28" i="65"/>
  <c r="P22" i="64"/>
  <c r="P35" i="64" s="1"/>
  <c r="P22" i="65"/>
  <c r="AC28" i="64"/>
  <c r="AC8" i="65"/>
  <c r="AA30" i="63"/>
  <c r="AA30" i="22"/>
  <c r="P22" i="22"/>
  <c r="P35" i="22" s="1"/>
  <c r="P22" i="63"/>
  <c r="AB29" i="63"/>
  <c r="AB28" i="63"/>
  <c r="AC10" i="61"/>
  <c r="R53" i="61"/>
  <c r="R71" i="61"/>
  <c r="Q46" i="61"/>
  <c r="AD5" i="61"/>
  <c r="AD3" i="49"/>
  <c r="AD3" i="50"/>
  <c r="AD3" i="48"/>
  <c r="AD3" i="22"/>
  <c r="AD45" i="22" s="1"/>
  <c r="AE6" i="61"/>
  <c r="AE4" i="49"/>
  <c r="AE4" i="50"/>
  <c r="AE4" i="22"/>
  <c r="AE4" i="48"/>
  <c r="T35" i="61"/>
  <c r="T36" i="61"/>
  <c r="R63" i="61"/>
  <c r="AC9" i="61"/>
  <c r="AC7" i="49"/>
  <c r="AC7" i="50"/>
  <c r="AC7" i="22"/>
  <c r="AC7" i="48"/>
  <c r="AB28" i="22"/>
  <c r="AB29" i="22"/>
  <c r="R45" i="61"/>
  <c r="AJ20" i="38"/>
  <c r="AI8" i="61"/>
  <c r="AI6" i="49"/>
  <c r="AI6" i="48"/>
  <c r="AI6" i="50"/>
  <c r="AI6" i="22"/>
  <c r="AC8" i="49"/>
  <c r="AC8" i="50"/>
  <c r="AC8" i="48"/>
  <c r="AC8" i="22"/>
  <c r="AD21" i="38"/>
  <c r="AE17" i="38"/>
  <c r="AD22" i="38"/>
  <c r="AF18" i="38"/>
  <c r="S115" i="61" l="1"/>
  <c r="T38" i="50"/>
  <c r="S140" i="61"/>
  <c r="S134" i="61"/>
  <c r="P39" i="50"/>
  <c r="P40" i="50" s="1"/>
  <c r="S123" i="61"/>
  <c r="P100" i="61"/>
  <c r="P136" i="61" s="1"/>
  <c r="P135" i="61"/>
  <c r="R45" i="50"/>
  <c r="R46" i="50" s="1"/>
  <c r="T98" i="61"/>
  <c r="T106" i="61"/>
  <c r="T80" i="61"/>
  <c r="T88" i="61"/>
  <c r="T44" i="61"/>
  <c r="T70" i="61"/>
  <c r="T52" i="61"/>
  <c r="T62" i="61"/>
  <c r="R32" i="50"/>
  <c r="S133" i="61"/>
  <c r="S114" i="61"/>
  <c r="S26" i="50" s="1"/>
  <c r="S32" i="50" s="1"/>
  <c r="S124" i="61"/>
  <c r="T86" i="61"/>
  <c r="T97" i="61"/>
  <c r="T96" i="61"/>
  <c r="T60" i="61"/>
  <c r="T43" i="61"/>
  <c r="T69" i="61"/>
  <c r="T42" i="61"/>
  <c r="T104" i="61"/>
  <c r="T68" i="61"/>
  <c r="T78" i="61"/>
  <c r="T51" i="61"/>
  <c r="T87" i="61"/>
  <c r="T50" i="61"/>
  <c r="T105" i="61"/>
  <c r="T79" i="61"/>
  <c r="T61" i="61"/>
  <c r="S132" i="61"/>
  <c r="S44" i="50"/>
  <c r="S141" i="61"/>
  <c r="L40" i="50"/>
  <c r="N21" i="22"/>
  <c r="N34" i="22" s="1"/>
  <c r="N21" i="64"/>
  <c r="N34" i="64" s="1"/>
  <c r="N21" i="63"/>
  <c r="N34" i="63" s="1"/>
  <c r="N21" i="65"/>
  <c r="N34" i="65" s="1"/>
  <c r="S142" i="61"/>
  <c r="W27" i="50"/>
  <c r="W28" i="50" s="1"/>
  <c r="AQ27" i="50"/>
  <c r="AQ28" i="50" s="1"/>
  <c r="L28" i="50"/>
  <c r="AG27" i="50"/>
  <c r="AG28" i="50" s="1"/>
  <c r="AR27" i="50"/>
  <c r="AR28" i="50" s="1"/>
  <c r="P90" i="61"/>
  <c r="P126" i="61" s="1"/>
  <c r="AR30" i="50"/>
  <c r="AG30" i="50"/>
  <c r="O90" i="61"/>
  <c r="O126" i="61" s="1"/>
  <c r="W30" i="50"/>
  <c r="AQ30" i="50"/>
  <c r="P108" i="61"/>
  <c r="P144" i="61" s="1"/>
  <c r="R72" i="61"/>
  <c r="Q89" i="61"/>
  <c r="Q125" i="61" s="1"/>
  <c r="Q81" i="61"/>
  <c r="Q107" i="61"/>
  <c r="Q143" i="61" s="1"/>
  <c r="Q99" i="61"/>
  <c r="P81" i="61"/>
  <c r="AA46" i="22"/>
  <c r="Z48" i="22"/>
  <c r="AI19" i="49"/>
  <c r="AH16" i="63"/>
  <c r="AH17" i="63" s="1"/>
  <c r="AH16" i="65"/>
  <c r="AH17" i="65" s="1"/>
  <c r="AH16" i="64"/>
  <c r="AH17" i="64" s="1"/>
  <c r="AH16" i="22"/>
  <c r="AH17" i="22" s="1"/>
  <c r="R54" i="61"/>
  <c r="AC29" i="64"/>
  <c r="AC30" i="64" s="1"/>
  <c r="AD7" i="63"/>
  <c r="AD7" i="64"/>
  <c r="AD7" i="65"/>
  <c r="AJ6" i="65"/>
  <c r="AJ6" i="63"/>
  <c r="AJ6" i="64"/>
  <c r="AF4" i="63"/>
  <c r="AF4" i="64"/>
  <c r="AF4" i="65"/>
  <c r="AE3" i="65"/>
  <c r="AE3" i="63"/>
  <c r="AE3" i="64"/>
  <c r="AB30" i="65"/>
  <c r="Q22" i="64"/>
  <c r="Q35" i="64" s="1"/>
  <c r="Q22" i="65"/>
  <c r="Q35" i="65" s="1"/>
  <c r="AC29" i="65"/>
  <c r="AC28" i="65"/>
  <c r="AD29" i="64"/>
  <c r="AD8" i="65"/>
  <c r="P35" i="65"/>
  <c r="AD28" i="64"/>
  <c r="AB30" i="63"/>
  <c r="AC28" i="63"/>
  <c r="AC29" i="63"/>
  <c r="P35" i="63"/>
  <c r="AD10" i="61"/>
  <c r="Q22" i="22"/>
  <c r="Q35" i="22" s="1"/>
  <c r="Q22" i="63"/>
  <c r="Q35" i="63" s="1"/>
  <c r="S45" i="61"/>
  <c r="S63" i="61"/>
  <c r="S71" i="61"/>
  <c r="AB30" i="22"/>
  <c r="U35" i="61"/>
  <c r="AE5" i="61"/>
  <c r="AE3" i="49"/>
  <c r="AE3" i="50"/>
  <c r="AE3" i="22"/>
  <c r="AE45" i="22" s="1"/>
  <c r="AE3" i="48"/>
  <c r="U36" i="61"/>
  <c r="S53" i="61"/>
  <c r="AD9" i="61"/>
  <c r="AD7" i="49"/>
  <c r="AD7" i="50"/>
  <c r="AD7" i="22"/>
  <c r="AD7" i="48"/>
  <c r="R64" i="61"/>
  <c r="R46" i="61"/>
  <c r="AC29" i="22"/>
  <c r="AC28" i="22"/>
  <c r="AK20" i="38"/>
  <c r="AJ8" i="61"/>
  <c r="AJ6" i="49"/>
  <c r="AJ6" i="50"/>
  <c r="AJ6" i="22"/>
  <c r="AJ6" i="48"/>
  <c r="AF6" i="61"/>
  <c r="AF4" i="49"/>
  <c r="AF4" i="50"/>
  <c r="AF4" i="22"/>
  <c r="AF4" i="48"/>
  <c r="AD8" i="49"/>
  <c r="AD8" i="50"/>
  <c r="AD8" i="22"/>
  <c r="AD8" i="48"/>
  <c r="AE21" i="38"/>
  <c r="AG18" i="38"/>
  <c r="AF17" i="38"/>
  <c r="AE22" i="38"/>
  <c r="T134" i="61" l="1"/>
  <c r="T142" i="61"/>
  <c r="T140" i="61"/>
  <c r="T116" i="61"/>
  <c r="T115" i="61"/>
  <c r="T133" i="61"/>
  <c r="T114" i="61"/>
  <c r="T26" i="50" s="1"/>
  <c r="U87" i="61"/>
  <c r="U86" i="61"/>
  <c r="U97" i="61"/>
  <c r="U96" i="61"/>
  <c r="U79" i="61"/>
  <c r="U61" i="61"/>
  <c r="U60" i="61"/>
  <c r="U43" i="61"/>
  <c r="U78" i="61"/>
  <c r="U69" i="61"/>
  <c r="U42" i="61"/>
  <c r="U104" i="61"/>
  <c r="U68" i="61"/>
  <c r="U105" i="61"/>
  <c r="U50" i="61"/>
  <c r="U51" i="61"/>
  <c r="Q39" i="50"/>
  <c r="Q40" i="50" s="1"/>
  <c r="P117" i="61"/>
  <c r="T141" i="61"/>
  <c r="T122" i="61"/>
  <c r="T29" i="50" s="1"/>
  <c r="S64" i="61"/>
  <c r="S45" i="50"/>
  <c r="S46" i="50" s="1"/>
  <c r="Q100" i="61"/>
  <c r="Q136" i="61" s="1"/>
  <c r="Q135" i="61"/>
  <c r="T132" i="61"/>
  <c r="T44" i="50"/>
  <c r="Q82" i="61"/>
  <c r="Q118" i="61" s="1"/>
  <c r="R39" i="50"/>
  <c r="R40" i="50" s="1"/>
  <c r="R21" i="63" s="1"/>
  <c r="Q117" i="61"/>
  <c r="T123" i="61"/>
  <c r="U98" i="61"/>
  <c r="U88" i="61"/>
  <c r="U44" i="61"/>
  <c r="U106" i="61"/>
  <c r="U70" i="61"/>
  <c r="U80" i="61"/>
  <c r="U52" i="61"/>
  <c r="U62" i="61"/>
  <c r="U38" i="50"/>
  <c r="T124" i="61"/>
  <c r="Q90" i="61"/>
  <c r="Q126" i="61" s="1"/>
  <c r="AQ31" i="50"/>
  <c r="AQ34" i="50" s="1"/>
  <c r="AQ33" i="50"/>
  <c r="AR31" i="50"/>
  <c r="AR34" i="50" s="1"/>
  <c r="AR33" i="50"/>
  <c r="O30" i="50"/>
  <c r="W31" i="50"/>
  <c r="W34" i="50" s="1"/>
  <c r="W33" i="50"/>
  <c r="AG31" i="50"/>
  <c r="AG34" i="50" s="1"/>
  <c r="AG33" i="50"/>
  <c r="P21" i="64"/>
  <c r="P34" i="64" s="1"/>
  <c r="P21" i="22"/>
  <c r="P34" i="22" s="1"/>
  <c r="P21" i="65"/>
  <c r="P34" i="65" s="1"/>
  <c r="P21" i="63"/>
  <c r="P34" i="63" s="1"/>
  <c r="S72" i="61"/>
  <c r="Q108" i="61"/>
  <c r="Q144" i="61" s="1"/>
  <c r="P82" i="61"/>
  <c r="P118" i="61" s="1"/>
  <c r="R107" i="61"/>
  <c r="R143" i="61" s="1"/>
  <c r="R99" i="61"/>
  <c r="R89" i="61"/>
  <c r="R125" i="61" s="1"/>
  <c r="AJ19" i="49"/>
  <c r="AI16" i="65"/>
  <c r="AI17" i="65" s="1"/>
  <c r="AI16" i="64"/>
  <c r="AI17" i="64" s="1"/>
  <c r="AI16" i="63"/>
  <c r="AI17" i="63" s="1"/>
  <c r="AI16" i="22"/>
  <c r="AI17" i="22" s="1"/>
  <c r="AB46" i="22"/>
  <c r="AA48" i="22"/>
  <c r="AC30" i="65"/>
  <c r="AF3" i="65"/>
  <c r="AF3" i="64"/>
  <c r="AF3" i="63"/>
  <c r="AK6" i="65"/>
  <c r="AK6" i="64"/>
  <c r="AK6" i="63"/>
  <c r="AG4" i="63"/>
  <c r="AG4" i="65"/>
  <c r="AG4" i="64"/>
  <c r="AE7" i="63"/>
  <c r="AE7" i="64"/>
  <c r="AE7" i="65"/>
  <c r="AD30" i="64"/>
  <c r="AD29" i="65"/>
  <c r="AD28" i="65"/>
  <c r="R22" i="64"/>
  <c r="R35" i="64" s="1"/>
  <c r="R22" i="65"/>
  <c r="AE29" i="64"/>
  <c r="AE8" i="65"/>
  <c r="S46" i="61"/>
  <c r="AD28" i="63"/>
  <c r="AD29" i="63"/>
  <c r="T45" i="61"/>
  <c r="R22" i="22"/>
  <c r="R35" i="22" s="1"/>
  <c r="R22" i="63"/>
  <c r="R35" i="63" s="1"/>
  <c r="AC30" i="63"/>
  <c r="AE10" i="61"/>
  <c r="T63" i="61"/>
  <c r="T71" i="61"/>
  <c r="T53" i="61"/>
  <c r="V36" i="61"/>
  <c r="AF5" i="61"/>
  <c r="AF3" i="49"/>
  <c r="AF3" i="50"/>
  <c r="AF3" i="22"/>
  <c r="AF45" i="22" s="1"/>
  <c r="AF3" i="48"/>
  <c r="AG6" i="61"/>
  <c r="AG4" i="50"/>
  <c r="AG4" i="22"/>
  <c r="AG4" i="48"/>
  <c r="AG4" i="49"/>
  <c r="AD28" i="22"/>
  <c r="AD29" i="22"/>
  <c r="AL20" i="38"/>
  <c r="AK8" i="61"/>
  <c r="AK6" i="49"/>
  <c r="AK6" i="50"/>
  <c r="AK6" i="22"/>
  <c r="AK6" i="48"/>
  <c r="V35" i="61"/>
  <c r="AE9" i="61"/>
  <c r="AE7" i="50"/>
  <c r="AE7" i="22"/>
  <c r="AE7" i="48"/>
  <c r="AE7" i="49"/>
  <c r="AC30" i="22"/>
  <c r="S54" i="61"/>
  <c r="AE8" i="50"/>
  <c r="AE8" i="22"/>
  <c r="AE8" i="49"/>
  <c r="AE8" i="48"/>
  <c r="AF21" i="38"/>
  <c r="AH18" i="38"/>
  <c r="AG17" i="38"/>
  <c r="AF22" i="38"/>
  <c r="U133" i="61" l="1"/>
  <c r="U114" i="61"/>
  <c r="U124" i="61"/>
  <c r="U123" i="61"/>
  <c r="U140" i="61"/>
  <c r="U142" i="61"/>
  <c r="V38" i="50"/>
  <c r="U115" i="61"/>
  <c r="U122" i="61"/>
  <c r="U29" i="50" s="1"/>
  <c r="Q21" i="22"/>
  <c r="Q34" i="22" s="1"/>
  <c r="Q21" i="63"/>
  <c r="Q34" i="63" s="1"/>
  <c r="Q21" i="65"/>
  <c r="Q34" i="65" s="1"/>
  <c r="Q21" i="64"/>
  <c r="Q34" i="64" s="1"/>
  <c r="T64" i="61"/>
  <c r="T45" i="50"/>
  <c r="U134" i="61"/>
  <c r="U44" i="50"/>
  <c r="U132" i="61"/>
  <c r="V104" i="61"/>
  <c r="V78" i="61"/>
  <c r="V87" i="61"/>
  <c r="V86" i="61"/>
  <c r="V97" i="61"/>
  <c r="V105" i="61"/>
  <c r="V79" i="61"/>
  <c r="V61" i="61"/>
  <c r="V60" i="61"/>
  <c r="V43" i="61"/>
  <c r="V68" i="61"/>
  <c r="V69" i="61"/>
  <c r="V42" i="61"/>
  <c r="V51" i="61"/>
  <c r="V96" i="61"/>
  <c r="V50" i="61"/>
  <c r="R100" i="61"/>
  <c r="R136" i="61" s="1"/>
  <c r="R135" i="61"/>
  <c r="U116" i="61"/>
  <c r="U141" i="61"/>
  <c r="V88" i="61"/>
  <c r="V98" i="61"/>
  <c r="V62" i="61"/>
  <c r="V44" i="61"/>
  <c r="V106" i="61"/>
  <c r="V70" i="61"/>
  <c r="V80" i="61"/>
  <c r="V52" i="61"/>
  <c r="T54" i="61"/>
  <c r="T46" i="50"/>
  <c r="L34" i="50"/>
  <c r="L31" i="50"/>
  <c r="R21" i="22"/>
  <c r="R34" i="22" s="1"/>
  <c r="R21" i="65"/>
  <c r="R34" i="65" s="1"/>
  <c r="R21" i="64"/>
  <c r="R34" i="64" s="1"/>
  <c r="T32" i="50"/>
  <c r="U26" i="50"/>
  <c r="P27" i="50"/>
  <c r="P28" i="50" s="1"/>
  <c r="O27" i="50"/>
  <c r="O28" i="50" s="1"/>
  <c r="W20" i="22"/>
  <c r="W20" i="63"/>
  <c r="W20" i="65"/>
  <c r="W20" i="64"/>
  <c r="R90" i="61"/>
  <c r="R126" i="61" s="1"/>
  <c r="P30" i="50"/>
  <c r="AG20" i="64"/>
  <c r="AG20" i="65"/>
  <c r="AG20" i="22"/>
  <c r="AG20" i="63"/>
  <c r="N20" i="65"/>
  <c r="N20" i="22"/>
  <c r="N20" i="63"/>
  <c r="N20" i="64"/>
  <c r="O31" i="50"/>
  <c r="T72" i="61"/>
  <c r="R108" i="61"/>
  <c r="R144" i="61" s="1"/>
  <c r="R81" i="61"/>
  <c r="S81" i="61"/>
  <c r="S89" i="61"/>
  <c r="S125" i="61" s="1"/>
  <c r="S107" i="61"/>
  <c r="S143" i="61" s="1"/>
  <c r="S99" i="61"/>
  <c r="AD30" i="63"/>
  <c r="AC46" i="22"/>
  <c r="AB48" i="22"/>
  <c r="AK19" i="49"/>
  <c r="AJ16" i="65"/>
  <c r="AJ17" i="65" s="1"/>
  <c r="AJ16" i="64"/>
  <c r="AJ17" i="64" s="1"/>
  <c r="AJ16" i="63"/>
  <c r="AJ17" i="63" s="1"/>
  <c r="AJ16" i="22"/>
  <c r="AJ17" i="22" s="1"/>
  <c r="AD30" i="65"/>
  <c r="AE28" i="64"/>
  <c r="AE30" i="64" s="1"/>
  <c r="AL6" i="63"/>
  <c r="AL6" i="64"/>
  <c r="AL6" i="65"/>
  <c r="AG3" i="63"/>
  <c r="AG3" i="64"/>
  <c r="AG3" i="65"/>
  <c r="AF7" i="63"/>
  <c r="AF7" i="64"/>
  <c r="AF7" i="65"/>
  <c r="AH4" i="63"/>
  <c r="AH4" i="64"/>
  <c r="AH4" i="65"/>
  <c r="AF29" i="64"/>
  <c r="AF8" i="65"/>
  <c r="AE28" i="65"/>
  <c r="AE29" i="65"/>
  <c r="R35" i="65"/>
  <c r="S22" i="64"/>
  <c r="S35" i="64" s="1"/>
  <c r="S22" i="65"/>
  <c r="S35" i="65" s="1"/>
  <c r="T46" i="61"/>
  <c r="S22" i="22"/>
  <c r="S35" i="22" s="1"/>
  <c r="S22" i="63"/>
  <c r="R34" i="63"/>
  <c r="U71" i="61"/>
  <c r="AF10" i="61"/>
  <c r="AE28" i="63"/>
  <c r="AE29" i="63"/>
  <c r="AD30" i="22"/>
  <c r="U53" i="61"/>
  <c r="U45" i="61"/>
  <c r="AE28" i="22"/>
  <c r="AE29" i="22"/>
  <c r="AH6" i="61"/>
  <c r="AH4" i="50"/>
  <c r="AH4" i="22"/>
  <c r="AH4" i="49"/>
  <c r="AH4" i="48"/>
  <c r="AM20" i="38"/>
  <c r="AL8" i="61"/>
  <c r="AL6" i="49"/>
  <c r="AL6" i="50"/>
  <c r="AL6" i="22"/>
  <c r="AL6" i="48"/>
  <c r="AG5" i="61"/>
  <c r="AG3" i="49"/>
  <c r="AG3" i="48"/>
  <c r="AG3" i="50"/>
  <c r="AG3" i="22"/>
  <c r="AG45" i="22" s="1"/>
  <c r="AF9" i="61"/>
  <c r="AF7" i="22"/>
  <c r="AF7" i="49"/>
  <c r="AF7" i="50"/>
  <c r="AF7" i="48"/>
  <c r="U63" i="61"/>
  <c r="AF8" i="50"/>
  <c r="AF8" i="22"/>
  <c r="AF8" i="48"/>
  <c r="AF8" i="49"/>
  <c r="AG21" i="38"/>
  <c r="AH17" i="38"/>
  <c r="AG22" i="38"/>
  <c r="AI18" i="38"/>
  <c r="V133" i="61" l="1"/>
  <c r="V142" i="61"/>
  <c r="V116" i="61"/>
  <c r="V115" i="61"/>
  <c r="O34" i="50"/>
  <c r="O20" i="65" s="1"/>
  <c r="V134" i="61"/>
  <c r="V124" i="61"/>
  <c r="V141" i="61"/>
  <c r="V140" i="61"/>
  <c r="S100" i="61"/>
  <c r="S136" i="61" s="1"/>
  <c r="S135" i="61"/>
  <c r="U45" i="50"/>
  <c r="U46" i="50" s="1"/>
  <c r="W38" i="50"/>
  <c r="V44" i="50"/>
  <c r="V132" i="61"/>
  <c r="V122" i="61"/>
  <c r="V29" i="50" s="1"/>
  <c r="S82" i="61"/>
  <c r="S118" i="61" s="1"/>
  <c r="T39" i="50"/>
  <c r="T40" i="50" s="1"/>
  <c r="T21" i="22" s="1"/>
  <c r="S117" i="61"/>
  <c r="S39" i="50"/>
  <c r="S40" i="50" s="1"/>
  <c r="R117" i="61"/>
  <c r="U54" i="61"/>
  <c r="V123" i="61"/>
  <c r="V114" i="61"/>
  <c r="V26" i="50" s="1"/>
  <c r="U32" i="50"/>
  <c r="Q27" i="50"/>
  <c r="Q28" i="50" s="1"/>
  <c r="O33" i="50"/>
  <c r="N33" i="63"/>
  <c r="N36" i="63" s="1"/>
  <c r="N23" i="63"/>
  <c r="W33" i="64"/>
  <c r="N33" i="22"/>
  <c r="N36" i="22" s="1"/>
  <c r="N47" i="22" s="1"/>
  <c r="N23" i="22"/>
  <c r="W33" i="65"/>
  <c r="S90" i="61"/>
  <c r="S126" i="61" s="1"/>
  <c r="N23" i="65"/>
  <c r="N33" i="65"/>
  <c r="N36" i="65" s="1"/>
  <c r="W33" i="63"/>
  <c r="Q30" i="50"/>
  <c r="N33" i="64"/>
  <c r="N36" i="64" s="1"/>
  <c r="N23" i="64"/>
  <c r="P31" i="50"/>
  <c r="P34" i="50" s="1"/>
  <c r="P33" i="50"/>
  <c r="W33" i="22"/>
  <c r="S108" i="61"/>
  <c r="S144" i="61" s="1"/>
  <c r="U72" i="61"/>
  <c r="R82" i="61"/>
  <c r="R118" i="61" s="1"/>
  <c r="T107" i="61"/>
  <c r="T143" i="61" s="1"/>
  <c r="T99" i="61"/>
  <c r="T81" i="61"/>
  <c r="T89" i="61"/>
  <c r="T125" i="61" s="1"/>
  <c r="AL19" i="49"/>
  <c r="AK16" i="65"/>
  <c r="AK17" i="65" s="1"/>
  <c r="AK16" i="64"/>
  <c r="AK17" i="64" s="1"/>
  <c r="AK16" i="63"/>
  <c r="AK17" i="63" s="1"/>
  <c r="AK16" i="22"/>
  <c r="AK17" i="22" s="1"/>
  <c r="AD46" i="22"/>
  <c r="AC48" i="22"/>
  <c r="AI4" i="63"/>
  <c r="AI4" i="64"/>
  <c r="AI4" i="65"/>
  <c r="AH3" i="63"/>
  <c r="AH3" i="64"/>
  <c r="AH3" i="65"/>
  <c r="AM6" i="63"/>
  <c r="AM6" i="65"/>
  <c r="AM6" i="64"/>
  <c r="AF28" i="64"/>
  <c r="AF30" i="64" s="1"/>
  <c r="AG7" i="64"/>
  <c r="AG7" i="65"/>
  <c r="AG7" i="63"/>
  <c r="AG28" i="64"/>
  <c r="AG8" i="65"/>
  <c r="T22" i="64"/>
  <c r="T35" i="64" s="1"/>
  <c r="T22" i="65"/>
  <c r="AE30" i="65"/>
  <c r="AF28" i="65"/>
  <c r="AF29" i="65"/>
  <c r="AE30" i="63"/>
  <c r="AG33" i="64"/>
  <c r="AF29" i="63"/>
  <c r="AF28" i="63"/>
  <c r="AG10" i="61"/>
  <c r="T22" i="22"/>
  <c r="T35" i="22" s="1"/>
  <c r="T22" i="63"/>
  <c r="T35" i="63" s="1"/>
  <c r="S35" i="63"/>
  <c r="U46" i="61"/>
  <c r="V63" i="61"/>
  <c r="V53" i="61"/>
  <c r="V71" i="61"/>
  <c r="V45" i="61"/>
  <c r="AN20" i="38"/>
  <c r="AM8" i="61"/>
  <c r="AM6" i="49"/>
  <c r="AM6" i="48"/>
  <c r="AM6" i="50"/>
  <c r="AM6" i="22"/>
  <c r="AF29" i="22"/>
  <c r="AF28" i="22"/>
  <c r="X35" i="61"/>
  <c r="X36" i="61"/>
  <c r="AI6" i="61"/>
  <c r="AI4" i="22"/>
  <c r="AI4" i="48"/>
  <c r="AI4" i="49"/>
  <c r="AI4" i="50"/>
  <c r="AH5" i="61"/>
  <c r="AH3" i="50"/>
  <c r="AH3" i="48"/>
  <c r="AH3" i="22"/>
  <c r="AH45" i="22" s="1"/>
  <c r="AH3" i="49"/>
  <c r="U64" i="61"/>
  <c r="AG9" i="61"/>
  <c r="AG7" i="48"/>
  <c r="AG7" i="49"/>
  <c r="AG7" i="50"/>
  <c r="AG7" i="22"/>
  <c r="AE30" i="22"/>
  <c r="AG8" i="50"/>
  <c r="AG8" i="48"/>
  <c r="AG8" i="22"/>
  <c r="AG8" i="49"/>
  <c r="AH21" i="38"/>
  <c r="AJ18" i="38"/>
  <c r="AI17" i="38"/>
  <c r="AH22" i="38"/>
  <c r="V32" i="50" l="1"/>
  <c r="O20" i="63"/>
  <c r="O23" i="63" s="1"/>
  <c r="O20" i="22"/>
  <c r="O20" i="64"/>
  <c r="O23" i="64" s="1"/>
  <c r="S21" i="64"/>
  <c r="S34" i="64" s="1"/>
  <c r="S21" i="63"/>
  <c r="S34" i="63" s="1"/>
  <c r="S21" i="22"/>
  <c r="S34" i="22" s="1"/>
  <c r="S21" i="65"/>
  <c r="S34" i="65" s="1"/>
  <c r="X106" i="61"/>
  <c r="X80" i="61"/>
  <c r="X88" i="61"/>
  <c r="X62" i="61"/>
  <c r="X70" i="61"/>
  <c r="X44" i="61"/>
  <c r="X52" i="61"/>
  <c r="X98" i="61"/>
  <c r="X105" i="61"/>
  <c r="X79" i="61"/>
  <c r="X104" i="61"/>
  <c r="X78" i="61"/>
  <c r="X87" i="61"/>
  <c r="X86" i="61"/>
  <c r="X96" i="61"/>
  <c r="X51" i="61"/>
  <c r="X50" i="61"/>
  <c r="X97" i="61"/>
  <c r="X61" i="61"/>
  <c r="X60" i="61"/>
  <c r="X68" i="61"/>
  <c r="X42" i="61"/>
  <c r="X69" i="61"/>
  <c r="X43" i="61"/>
  <c r="T82" i="61"/>
  <c r="T118" i="61" s="1"/>
  <c r="U39" i="50"/>
  <c r="U40" i="50" s="1"/>
  <c r="U21" i="22" s="1"/>
  <c r="U34" i="22" s="1"/>
  <c r="T117" i="61"/>
  <c r="T100" i="61"/>
  <c r="T136" i="61" s="1"/>
  <c r="T135" i="61"/>
  <c r="V64" i="61"/>
  <c r="V45" i="50"/>
  <c r="V46" i="50" s="1"/>
  <c r="W22" i="22"/>
  <c r="W35" i="22" s="1"/>
  <c r="R27" i="50"/>
  <c r="R28" i="50" s="1"/>
  <c r="T21" i="65"/>
  <c r="T34" i="65" s="1"/>
  <c r="T21" i="63"/>
  <c r="T34" i="63" s="1"/>
  <c r="T21" i="64"/>
  <c r="T34" i="64" s="1"/>
  <c r="P20" i="65"/>
  <c r="P20" i="63"/>
  <c r="P20" i="22"/>
  <c r="P20" i="64"/>
  <c r="Q31" i="50"/>
  <c r="Q34" i="50" s="1"/>
  <c r="Q33" i="50"/>
  <c r="T90" i="61"/>
  <c r="T126" i="61" s="1"/>
  <c r="N49" i="22"/>
  <c r="O33" i="22"/>
  <c r="O36" i="22" s="1"/>
  <c r="O47" i="22" s="1"/>
  <c r="O23" i="22"/>
  <c r="R30" i="50"/>
  <c r="O33" i="65"/>
  <c r="O36" i="65" s="1"/>
  <c r="O23" i="65"/>
  <c r="U99" i="61"/>
  <c r="U89" i="61"/>
  <c r="U125" i="61" s="1"/>
  <c r="U81" i="61"/>
  <c r="S27" i="50"/>
  <c r="S28" i="50" s="1"/>
  <c r="V72" i="61"/>
  <c r="U107" i="61"/>
  <c r="U143" i="61" s="1"/>
  <c r="T108" i="61"/>
  <c r="T144" i="61" s="1"/>
  <c r="V54" i="61"/>
  <c r="AF30" i="63"/>
  <c r="AE46" i="22"/>
  <c r="AD48" i="22"/>
  <c r="AM19" i="49"/>
  <c r="AL16" i="63"/>
  <c r="AL17" i="63" s="1"/>
  <c r="AL16" i="65"/>
  <c r="AL17" i="65" s="1"/>
  <c r="AL16" i="64"/>
  <c r="AL17" i="64" s="1"/>
  <c r="AL16" i="22"/>
  <c r="AL17" i="22" s="1"/>
  <c r="AF30" i="65"/>
  <c r="AJ4" i="64"/>
  <c r="AJ4" i="65"/>
  <c r="AJ4" i="63"/>
  <c r="AH7" i="64"/>
  <c r="AH7" i="65"/>
  <c r="AH7" i="63"/>
  <c r="AI3" i="63"/>
  <c r="AI3" i="64"/>
  <c r="AI3" i="65"/>
  <c r="AN6" i="63"/>
  <c r="AN6" i="64"/>
  <c r="AN6" i="65"/>
  <c r="AG28" i="65"/>
  <c r="AG29" i="65"/>
  <c r="AG33" i="65"/>
  <c r="T35" i="65"/>
  <c r="AH8" i="65"/>
  <c r="AG29" i="64"/>
  <c r="AG30" i="64" s="1"/>
  <c r="U22" i="64"/>
  <c r="U35" i="64" s="1"/>
  <c r="U22" i="65"/>
  <c r="U35" i="65" s="1"/>
  <c r="T34" i="22"/>
  <c r="AH29" i="64"/>
  <c r="AH28" i="64"/>
  <c r="U22" i="22"/>
  <c r="U35" i="22" s="1"/>
  <c r="U22" i="63"/>
  <c r="AH10" i="61"/>
  <c r="AG28" i="63"/>
  <c r="AG29" i="63"/>
  <c r="AG33" i="63"/>
  <c r="Y36" i="61"/>
  <c r="AH9" i="61"/>
  <c r="AH7" i="48"/>
  <c r="AH7" i="49"/>
  <c r="AH7" i="50"/>
  <c r="AH7" i="22"/>
  <c r="Y35" i="61"/>
  <c r="AG28" i="22"/>
  <c r="AG29" i="22"/>
  <c r="AG33" i="22"/>
  <c r="AF30" i="22"/>
  <c r="AO20" i="38"/>
  <c r="AN8" i="61"/>
  <c r="AN6" i="50"/>
  <c r="AN6" i="22"/>
  <c r="AN6" i="48"/>
  <c r="AN6" i="49"/>
  <c r="AJ6" i="61"/>
  <c r="AJ4" i="48"/>
  <c r="AJ4" i="49"/>
  <c r="AJ4" i="50"/>
  <c r="AJ4" i="22"/>
  <c r="AI5" i="61"/>
  <c r="AI3" i="50"/>
  <c r="AI3" i="22"/>
  <c r="AI45" i="22" s="1"/>
  <c r="AI3" i="48"/>
  <c r="AI3" i="49"/>
  <c r="V46" i="61"/>
  <c r="AH8" i="22"/>
  <c r="AH8" i="48"/>
  <c r="AH8" i="49"/>
  <c r="AH8" i="50"/>
  <c r="AI21" i="38"/>
  <c r="AJ17" i="38"/>
  <c r="AI22" i="38"/>
  <c r="AK18" i="38"/>
  <c r="O33" i="64" l="1"/>
  <c r="O36" i="64" s="1"/>
  <c r="X122" i="61"/>
  <c r="O33" i="63"/>
  <c r="O36" i="63" s="1"/>
  <c r="X123" i="61"/>
  <c r="Y38" i="50"/>
  <c r="X124" i="61"/>
  <c r="X114" i="61"/>
  <c r="X26" i="50" s="1"/>
  <c r="X140" i="61"/>
  <c r="X115" i="61"/>
  <c r="U82" i="61"/>
  <c r="U118" i="61" s="1"/>
  <c r="V39" i="50"/>
  <c r="V40" i="50" s="1"/>
  <c r="V21" i="63" s="1"/>
  <c r="V34" i="63" s="1"/>
  <c r="U117" i="61"/>
  <c r="X141" i="61"/>
  <c r="X116" i="61"/>
  <c r="Y96" i="61"/>
  <c r="Y105" i="61"/>
  <c r="Y79" i="61"/>
  <c r="Y104" i="61"/>
  <c r="Y78" i="61"/>
  <c r="Y87" i="61"/>
  <c r="Y68" i="61"/>
  <c r="Y51" i="61"/>
  <c r="Y86" i="61"/>
  <c r="Y50" i="61"/>
  <c r="Y97" i="61"/>
  <c r="Y61" i="61"/>
  <c r="Y69" i="61"/>
  <c r="Y42" i="61"/>
  <c r="Y60" i="61"/>
  <c r="Y43" i="61"/>
  <c r="U100" i="61"/>
  <c r="U136" i="61" s="1"/>
  <c r="U135" i="61"/>
  <c r="X142" i="61"/>
  <c r="X132" i="61"/>
  <c r="X44" i="50"/>
  <c r="X134" i="61"/>
  <c r="Y106" i="61"/>
  <c r="Y80" i="61"/>
  <c r="Y88" i="61"/>
  <c r="Y52" i="61"/>
  <c r="Y62" i="61"/>
  <c r="Y98" i="61"/>
  <c r="Y70" i="61"/>
  <c r="Y44" i="61"/>
  <c r="X133" i="61"/>
  <c r="U21" i="65"/>
  <c r="U21" i="63"/>
  <c r="U34" i="63" s="1"/>
  <c r="X29" i="50"/>
  <c r="W22" i="63"/>
  <c r="W35" i="63" s="1"/>
  <c r="W22" i="64"/>
  <c r="W35" i="64" s="1"/>
  <c r="W22" i="65"/>
  <c r="W35" i="65" s="1"/>
  <c r="U21" i="64"/>
  <c r="U34" i="64" s="1"/>
  <c r="R31" i="50"/>
  <c r="R34" i="50" s="1"/>
  <c r="R33" i="50"/>
  <c r="P23" i="22"/>
  <c r="P33" i="22"/>
  <c r="P36" i="22" s="1"/>
  <c r="P47" i="22" s="1"/>
  <c r="P33" i="63"/>
  <c r="P36" i="63" s="1"/>
  <c r="P23" i="63"/>
  <c r="Q20" i="22"/>
  <c r="Q20" i="63"/>
  <c r="Q20" i="65"/>
  <c r="Q20" i="64"/>
  <c r="P33" i="65"/>
  <c r="P36" i="65" s="1"/>
  <c r="P23" i="65"/>
  <c r="O49" i="22"/>
  <c r="S30" i="50"/>
  <c r="U90" i="61"/>
  <c r="U126" i="61" s="1"/>
  <c r="P23" i="64"/>
  <c r="P33" i="64"/>
  <c r="P36" i="64" s="1"/>
  <c r="T27" i="50"/>
  <c r="T28" i="50" s="1"/>
  <c r="U108" i="61"/>
  <c r="U144" i="61" s="1"/>
  <c r="V107" i="61"/>
  <c r="V143" i="61" s="1"/>
  <c r="V99" i="61"/>
  <c r="V89" i="61"/>
  <c r="V125" i="61" s="1"/>
  <c r="V81" i="61"/>
  <c r="AN19" i="49"/>
  <c r="AM16" i="65"/>
  <c r="AM17" i="65" s="1"/>
  <c r="AM16" i="64"/>
  <c r="AM17" i="64" s="1"/>
  <c r="AM16" i="63"/>
  <c r="AM17" i="63" s="1"/>
  <c r="AM16" i="22"/>
  <c r="AM17" i="22" s="1"/>
  <c r="AF46" i="22"/>
  <c r="AE48" i="22"/>
  <c r="AJ3" i="63"/>
  <c r="AJ3" i="64"/>
  <c r="AJ3" i="65"/>
  <c r="AI7" i="65"/>
  <c r="AI7" i="63"/>
  <c r="AI7" i="64"/>
  <c r="AO6" i="63"/>
  <c r="AO6" i="64"/>
  <c r="AO6" i="65"/>
  <c r="AK4" i="64"/>
  <c r="AK4" i="65"/>
  <c r="AK4" i="63"/>
  <c r="AG30" i="22"/>
  <c r="AH28" i="65"/>
  <c r="AH29" i="65"/>
  <c r="AG30" i="65"/>
  <c r="V22" i="64"/>
  <c r="V35" i="64" s="1"/>
  <c r="V22" i="65"/>
  <c r="V35" i="65" s="1"/>
  <c r="U34" i="65"/>
  <c r="AI8" i="65"/>
  <c r="X53" i="61"/>
  <c r="AH30" i="64"/>
  <c r="AI29" i="64"/>
  <c r="AI28" i="64"/>
  <c r="X45" i="61"/>
  <c r="U35" i="63"/>
  <c r="AI10" i="61"/>
  <c r="AG30" i="63"/>
  <c r="AH28" i="63"/>
  <c r="AH29" i="63"/>
  <c r="V22" i="22"/>
  <c r="V35" i="22" s="1"/>
  <c r="V22" i="63"/>
  <c r="V35" i="63" s="1"/>
  <c r="X63" i="61"/>
  <c r="AH29" i="22"/>
  <c r="AH28" i="22"/>
  <c r="Z35" i="61"/>
  <c r="X71" i="61"/>
  <c r="AK6" i="61"/>
  <c r="AK4" i="48"/>
  <c r="AK4" i="49"/>
  <c r="AK4" i="50"/>
  <c r="AK4" i="22"/>
  <c r="AJ5" i="61"/>
  <c r="AJ3" i="22"/>
  <c r="AJ45" i="22" s="1"/>
  <c r="AJ3" i="48"/>
  <c r="AJ3" i="49"/>
  <c r="AJ3" i="50"/>
  <c r="Z36" i="61"/>
  <c r="AI9" i="61"/>
  <c r="AI7" i="48"/>
  <c r="AI7" i="49"/>
  <c r="AI7" i="50"/>
  <c r="AI7" i="22"/>
  <c r="AP20" i="38"/>
  <c r="AO8" i="61"/>
  <c r="AO6" i="22"/>
  <c r="AO6" i="48"/>
  <c r="AO6" i="49"/>
  <c r="AO6" i="50"/>
  <c r="AI8" i="22"/>
  <c r="AI8" i="48"/>
  <c r="AI8" i="49"/>
  <c r="AI8" i="50"/>
  <c r="AJ21" i="38"/>
  <c r="AL18" i="38"/>
  <c r="AK17" i="38"/>
  <c r="AJ22" i="38"/>
  <c r="Y116" i="61" l="1"/>
  <c r="Y133" i="61"/>
  <c r="Y141" i="61"/>
  <c r="Y140" i="61"/>
  <c r="Y114" i="61"/>
  <c r="Y26" i="50" s="1"/>
  <c r="Y134" i="61"/>
  <c r="Y124" i="61"/>
  <c r="Y115" i="61"/>
  <c r="Y123" i="61"/>
  <c r="V100" i="61"/>
  <c r="V136" i="61" s="1"/>
  <c r="V135" i="61"/>
  <c r="Y142" i="61"/>
  <c r="Y132" i="61"/>
  <c r="Y44" i="50"/>
  <c r="X54" i="61"/>
  <c r="Z38" i="50"/>
  <c r="Z97" i="61"/>
  <c r="Z96" i="61"/>
  <c r="Z105" i="61"/>
  <c r="Z79" i="61"/>
  <c r="Z104" i="61"/>
  <c r="Z78" i="61"/>
  <c r="Z69" i="61"/>
  <c r="Z42" i="61"/>
  <c r="Z68" i="61"/>
  <c r="Z51" i="61"/>
  <c r="Z86" i="61"/>
  <c r="Z50" i="61"/>
  <c r="Z60" i="61"/>
  <c r="Z87" i="61"/>
  <c r="Z43" i="61"/>
  <c r="Z115" i="61" s="1"/>
  <c r="Z61" i="61"/>
  <c r="Z106" i="61"/>
  <c r="Z80" i="61"/>
  <c r="Z88" i="61"/>
  <c r="Z98" i="61"/>
  <c r="Z52" i="61"/>
  <c r="Z62" i="61"/>
  <c r="Z44" i="61"/>
  <c r="Z70" i="61"/>
  <c r="X64" i="61"/>
  <c r="X45" i="50"/>
  <c r="X46" i="50" s="1"/>
  <c r="W39" i="50"/>
  <c r="W40" i="50" s="1"/>
  <c r="V117" i="61"/>
  <c r="X32" i="50"/>
  <c r="Y122" i="61"/>
  <c r="Y29" i="50" s="1"/>
  <c r="V21" i="64"/>
  <c r="V34" i="64" s="1"/>
  <c r="V21" i="22"/>
  <c r="V34" i="22" s="1"/>
  <c r="X46" i="61"/>
  <c r="S31" i="50"/>
  <c r="S34" i="50" s="1"/>
  <c r="S33" i="50"/>
  <c r="Q23" i="63"/>
  <c r="Q33" i="63"/>
  <c r="Q36" i="63" s="1"/>
  <c r="V21" i="65"/>
  <c r="V34" i="65" s="1"/>
  <c r="V90" i="61"/>
  <c r="V126" i="61" s="1"/>
  <c r="Q33" i="22"/>
  <c r="Q36" i="22" s="1"/>
  <c r="Q47" i="22" s="1"/>
  <c r="Q23" i="22"/>
  <c r="P49" i="22"/>
  <c r="Q23" i="64"/>
  <c r="Q33" i="64"/>
  <c r="Q36" i="64" s="1"/>
  <c r="T30" i="50"/>
  <c r="Q33" i="65"/>
  <c r="Q36" i="65" s="1"/>
  <c r="Q23" i="65"/>
  <c r="R20" i="64"/>
  <c r="R20" i="22"/>
  <c r="R20" i="65"/>
  <c r="R20" i="63"/>
  <c r="V108" i="61"/>
  <c r="V144" i="61" s="1"/>
  <c r="X72" i="61"/>
  <c r="V82" i="61"/>
  <c r="V118" i="61" s="1"/>
  <c r="AI30" i="64"/>
  <c r="AG46" i="22"/>
  <c r="AF48" i="22"/>
  <c r="AO19" i="49"/>
  <c r="AN16" i="65"/>
  <c r="AN17" i="65" s="1"/>
  <c r="AN16" i="64"/>
  <c r="AN17" i="64" s="1"/>
  <c r="AN16" i="63"/>
  <c r="AN17" i="63" s="1"/>
  <c r="AN16" i="22"/>
  <c r="AN17" i="22" s="1"/>
  <c r="AL4" i="65"/>
  <c r="AL4" i="64"/>
  <c r="AL4" i="63"/>
  <c r="AP6" i="64"/>
  <c r="AP6" i="65"/>
  <c r="AP6" i="63"/>
  <c r="AJ7" i="65"/>
  <c r="AJ7" i="64"/>
  <c r="AJ7" i="63"/>
  <c r="AK3" i="64"/>
  <c r="AK3" i="65"/>
  <c r="AK3" i="63"/>
  <c r="AH30" i="65"/>
  <c r="X40" i="50"/>
  <c r="AI29" i="65"/>
  <c r="AI28" i="65"/>
  <c r="AJ28" i="64"/>
  <c r="AJ8" i="65"/>
  <c r="AJ29" i="64"/>
  <c r="AI28" i="63"/>
  <c r="AI29" i="63"/>
  <c r="AJ10" i="61"/>
  <c r="AH30" i="63"/>
  <c r="Y71" i="61"/>
  <c r="Y53" i="61"/>
  <c r="Y63" i="61"/>
  <c r="AJ9" i="61"/>
  <c r="AJ7" i="49"/>
  <c r="AJ7" i="50"/>
  <c r="AJ7" i="48"/>
  <c r="AJ7" i="22"/>
  <c r="AH30" i="22"/>
  <c r="AA36" i="61"/>
  <c r="AI28" i="22"/>
  <c r="AI29" i="22"/>
  <c r="Y45" i="61"/>
  <c r="AQ20" i="38"/>
  <c r="AP8" i="61"/>
  <c r="AP6" i="48"/>
  <c r="AP6" i="49"/>
  <c r="AP6" i="50"/>
  <c r="AP6" i="22"/>
  <c r="AK5" i="61"/>
  <c r="AK3" i="49"/>
  <c r="AK3" i="48"/>
  <c r="AK3" i="50"/>
  <c r="AK3" i="22"/>
  <c r="AK45" i="22" s="1"/>
  <c r="AL6" i="61"/>
  <c r="AL4" i="49"/>
  <c r="AL4" i="48"/>
  <c r="AL4" i="50"/>
  <c r="AL4" i="22"/>
  <c r="AA35" i="61"/>
  <c r="AJ8" i="49"/>
  <c r="AJ8" i="48"/>
  <c r="AJ8" i="22"/>
  <c r="AJ8" i="50"/>
  <c r="AK21" i="38"/>
  <c r="AL17" i="38"/>
  <c r="AK22" i="38"/>
  <c r="AM18" i="38"/>
  <c r="Z134" i="61" l="1"/>
  <c r="Z116" i="61"/>
  <c r="Y32" i="50"/>
  <c r="Z133" i="61"/>
  <c r="Z141" i="61"/>
  <c r="AA38" i="50"/>
  <c r="Z124" i="61"/>
  <c r="Z132" i="61"/>
  <c r="Z44" i="50"/>
  <c r="Y64" i="61"/>
  <c r="Y45" i="50"/>
  <c r="Y46" i="50" s="1"/>
  <c r="Z122" i="61"/>
  <c r="Z29" i="50" s="1"/>
  <c r="Z123" i="61"/>
  <c r="AA98" i="61"/>
  <c r="AA106" i="61"/>
  <c r="AA80" i="61"/>
  <c r="AA70" i="61"/>
  <c r="AA88" i="61"/>
  <c r="AA52" i="61"/>
  <c r="AA44" i="61"/>
  <c r="AA62" i="61"/>
  <c r="Z140" i="61"/>
  <c r="AA97" i="61"/>
  <c r="AA96" i="61"/>
  <c r="AA105" i="61"/>
  <c r="AA79" i="61"/>
  <c r="AA43" i="61"/>
  <c r="AA69" i="61"/>
  <c r="AA42" i="61"/>
  <c r="AA68" i="61"/>
  <c r="AA104" i="61"/>
  <c r="AA51" i="61"/>
  <c r="AA86" i="61"/>
  <c r="AA50" i="61"/>
  <c r="AA61" i="61"/>
  <c r="AA78" i="61"/>
  <c r="AA60" i="61"/>
  <c r="AA87" i="61"/>
  <c r="Z142" i="61"/>
  <c r="Z114" i="61"/>
  <c r="Z26" i="50" s="1"/>
  <c r="Z32" i="50" s="1"/>
  <c r="U27" i="50"/>
  <c r="U28" i="50" s="1"/>
  <c r="R33" i="22"/>
  <c r="R36" i="22" s="1"/>
  <c r="R47" i="22" s="1"/>
  <c r="R23" i="22"/>
  <c r="R33" i="64"/>
  <c r="R36" i="64" s="1"/>
  <c r="R23" i="64"/>
  <c r="Q49" i="22"/>
  <c r="T31" i="50"/>
  <c r="T34" i="50" s="1"/>
  <c r="T33" i="50"/>
  <c r="U30" i="50"/>
  <c r="R33" i="63"/>
  <c r="R36" i="63" s="1"/>
  <c r="R23" i="63"/>
  <c r="W21" i="64"/>
  <c r="W21" i="63"/>
  <c r="W21" i="65"/>
  <c r="W21" i="22"/>
  <c r="R23" i="65"/>
  <c r="R33" i="65"/>
  <c r="R36" i="65" s="1"/>
  <c r="S20" i="22"/>
  <c r="S20" i="63"/>
  <c r="S20" i="64"/>
  <c r="S20" i="65"/>
  <c r="X89" i="61"/>
  <c r="X125" i="61" s="1"/>
  <c r="X81" i="61"/>
  <c r="X107" i="61"/>
  <c r="X143" i="61" s="1"/>
  <c r="X99" i="61"/>
  <c r="Y72" i="61"/>
  <c r="AP19" i="49"/>
  <c r="AO16" i="65"/>
  <c r="AO17" i="65" s="1"/>
  <c r="AO16" i="64"/>
  <c r="AO17" i="64" s="1"/>
  <c r="AO16" i="63"/>
  <c r="AO17" i="63" s="1"/>
  <c r="AO16" i="22"/>
  <c r="AO17" i="22" s="1"/>
  <c r="AH46" i="22"/>
  <c r="AG48" i="22"/>
  <c r="AI30" i="65"/>
  <c r="Z45" i="61"/>
  <c r="AM4" i="65"/>
  <c r="AM4" i="63"/>
  <c r="AM4" i="64"/>
  <c r="AL3" i="64"/>
  <c r="AL3" i="65"/>
  <c r="AL3" i="63"/>
  <c r="AQ6" i="64"/>
  <c r="AQ6" i="65"/>
  <c r="AQ6" i="63"/>
  <c r="Y54" i="61"/>
  <c r="AK7" i="63"/>
  <c r="AK7" i="64"/>
  <c r="AK7" i="65"/>
  <c r="X22" i="64"/>
  <c r="X35" i="64" s="1"/>
  <c r="X22" i="65"/>
  <c r="X35" i="65" s="1"/>
  <c r="Z71" i="61"/>
  <c r="Z63" i="61"/>
  <c r="X21" i="64"/>
  <c r="X34" i="64" s="1"/>
  <c r="X21" i="65"/>
  <c r="X34" i="65" s="1"/>
  <c r="AJ29" i="65"/>
  <c r="AJ28" i="65"/>
  <c r="AK29" i="64"/>
  <c r="AK8" i="65"/>
  <c r="AI30" i="63"/>
  <c r="AJ30" i="64"/>
  <c r="X21" i="22"/>
  <c r="X34" i="22" s="1"/>
  <c r="X21" i="63"/>
  <c r="X34" i="63" s="1"/>
  <c r="AK10" i="61"/>
  <c r="AJ28" i="63"/>
  <c r="AJ29" i="63"/>
  <c r="X22" i="22"/>
  <c r="X35" i="22" s="1"/>
  <c r="X22" i="63"/>
  <c r="X35" i="63" s="1"/>
  <c r="AI30" i="22"/>
  <c r="Z53" i="61"/>
  <c r="AJ28" i="22"/>
  <c r="AJ29" i="22"/>
  <c r="Y46" i="61"/>
  <c r="AB35" i="61"/>
  <c r="AM6" i="61"/>
  <c r="AM4" i="49"/>
  <c r="AM4" i="50"/>
  <c r="AM4" i="22"/>
  <c r="AM4" i="48"/>
  <c r="AL5" i="61"/>
  <c r="AL3" i="49"/>
  <c r="AL3" i="50"/>
  <c r="AL3" i="48"/>
  <c r="AL3" i="22"/>
  <c r="AL45" i="22" s="1"/>
  <c r="AR20" i="38"/>
  <c r="AQ8" i="61"/>
  <c r="AQ6" i="49"/>
  <c r="AQ6" i="48"/>
  <c r="AQ6" i="50"/>
  <c r="AQ6" i="22"/>
  <c r="AB36" i="61"/>
  <c r="AK9" i="61"/>
  <c r="AK7" i="49"/>
  <c r="AK7" i="50"/>
  <c r="AK7" i="22"/>
  <c r="AK7" i="48"/>
  <c r="AK8" i="49"/>
  <c r="AK8" i="50"/>
  <c r="AK8" i="48"/>
  <c r="AK8" i="22"/>
  <c r="AL21" i="38"/>
  <c r="AN18" i="38"/>
  <c r="AM17" i="38"/>
  <c r="AL22" i="38"/>
  <c r="AA114" i="61" l="1"/>
  <c r="AA26" i="50" s="1"/>
  <c r="AA123" i="61"/>
  <c r="AB38" i="50"/>
  <c r="AA134" i="61"/>
  <c r="AA141" i="61"/>
  <c r="AA116" i="61"/>
  <c r="AA133" i="61"/>
  <c r="AA115" i="61"/>
  <c r="AA124" i="61"/>
  <c r="Z64" i="61"/>
  <c r="Z45" i="50"/>
  <c r="Z46" i="50" s="1"/>
  <c r="AB86" i="61"/>
  <c r="AB97" i="61"/>
  <c r="AB96" i="61"/>
  <c r="AB87" i="61"/>
  <c r="AB60" i="61"/>
  <c r="AB105" i="61"/>
  <c r="AB43" i="61"/>
  <c r="AB79" i="61"/>
  <c r="AB69" i="61"/>
  <c r="AB42" i="61"/>
  <c r="AB68" i="61"/>
  <c r="AB51" i="61"/>
  <c r="AB123" i="61" s="1"/>
  <c r="AB61" i="61"/>
  <c r="AB50" i="61"/>
  <c r="AB104" i="61"/>
  <c r="AB78" i="61"/>
  <c r="X100" i="61"/>
  <c r="X136" i="61" s="1"/>
  <c r="X135" i="61"/>
  <c r="AA122" i="61"/>
  <c r="X82" i="61"/>
  <c r="X118" i="61" s="1"/>
  <c r="Y39" i="50"/>
  <c r="Y40" i="50" s="1"/>
  <c r="Y21" i="22" s="1"/>
  <c r="Y34" i="22" s="1"/>
  <c r="X117" i="61"/>
  <c r="AA142" i="61"/>
  <c r="AA132" i="61"/>
  <c r="AA44" i="50"/>
  <c r="AB98" i="61"/>
  <c r="AB106" i="61"/>
  <c r="AB80" i="61"/>
  <c r="AB44" i="61"/>
  <c r="AB70" i="61"/>
  <c r="AB88" i="61"/>
  <c r="AB52" i="61"/>
  <c r="AB62" i="61"/>
  <c r="AA140" i="61"/>
  <c r="AA29" i="50"/>
  <c r="Z46" i="61"/>
  <c r="V27" i="50"/>
  <c r="V28" i="50" s="1"/>
  <c r="R49" i="22"/>
  <c r="X90" i="61"/>
  <c r="X126" i="61" s="1"/>
  <c r="W34" i="65"/>
  <c r="W36" i="65" s="1"/>
  <c r="W23" i="65"/>
  <c r="V30" i="50"/>
  <c r="S23" i="65"/>
  <c r="S33" i="65"/>
  <c r="S36" i="65" s="1"/>
  <c r="W34" i="63"/>
  <c r="W36" i="63" s="1"/>
  <c r="W23" i="63"/>
  <c r="U31" i="50"/>
  <c r="U34" i="50" s="1"/>
  <c r="U33" i="50"/>
  <c r="T20" i="65"/>
  <c r="T20" i="64"/>
  <c r="T20" i="22"/>
  <c r="T20" i="63"/>
  <c r="S33" i="22"/>
  <c r="S36" i="22" s="1"/>
  <c r="S47" i="22" s="1"/>
  <c r="S23" i="22"/>
  <c r="S33" i="64"/>
  <c r="S36" i="64" s="1"/>
  <c r="S23" i="64"/>
  <c r="W34" i="64"/>
  <c r="W36" i="64" s="1"/>
  <c r="W23" i="64"/>
  <c r="S33" i="63"/>
  <c r="S36" i="63" s="1"/>
  <c r="S23" i="63"/>
  <c r="W34" i="22"/>
  <c r="W36" i="22" s="1"/>
  <c r="W23" i="22"/>
  <c r="X108" i="61"/>
  <c r="X144" i="61" s="1"/>
  <c r="Z72" i="61"/>
  <c r="Y107" i="61"/>
  <c r="Y143" i="61" s="1"/>
  <c r="Y99" i="61"/>
  <c r="Y81" i="61"/>
  <c r="Y89" i="61"/>
  <c r="Y125" i="61" s="1"/>
  <c r="AI46" i="22"/>
  <c r="AH48" i="22"/>
  <c r="AQ19" i="49"/>
  <c r="AP16" i="63"/>
  <c r="AP17" i="63" s="1"/>
  <c r="AP16" i="65"/>
  <c r="AP17" i="65" s="1"/>
  <c r="AP16" i="64"/>
  <c r="AP17" i="64" s="1"/>
  <c r="AP16" i="22"/>
  <c r="AP17" i="22" s="1"/>
  <c r="AJ30" i="65"/>
  <c r="Z22" i="22"/>
  <c r="Z35" i="22" s="1"/>
  <c r="AQ20" i="65"/>
  <c r="AM3" i="65"/>
  <c r="AM3" i="63"/>
  <c r="AM3" i="64"/>
  <c r="AN4" i="64"/>
  <c r="AN4" i="65"/>
  <c r="AN4" i="63"/>
  <c r="AL7" i="65"/>
  <c r="AL7" i="63"/>
  <c r="AL7" i="64"/>
  <c r="AQ20" i="64"/>
  <c r="AR6" i="65"/>
  <c r="AR6" i="63"/>
  <c r="AR6" i="64"/>
  <c r="AQ20" i="63"/>
  <c r="Y22" i="64"/>
  <c r="Y35" i="64" s="1"/>
  <c r="Y22" i="65"/>
  <c r="Y35" i="65" s="1"/>
  <c r="AK29" i="65"/>
  <c r="AK28" i="65"/>
  <c r="AK28" i="64"/>
  <c r="AK30" i="64" s="1"/>
  <c r="AL8" i="65"/>
  <c r="AJ30" i="63"/>
  <c r="AL29" i="64"/>
  <c r="AL28" i="64"/>
  <c r="Y22" i="22"/>
  <c r="Y35" i="22" s="1"/>
  <c r="Y22" i="63"/>
  <c r="Y35" i="63" s="1"/>
  <c r="AK28" i="63"/>
  <c r="AK29" i="63"/>
  <c r="AL10" i="61"/>
  <c r="Z54" i="61"/>
  <c r="AJ30" i="22"/>
  <c r="AA71" i="61"/>
  <c r="AK28" i="22"/>
  <c r="AK29" i="22"/>
  <c r="AR8" i="61"/>
  <c r="AR6" i="49"/>
  <c r="AR6" i="50"/>
  <c r="AR6" i="48"/>
  <c r="AR6" i="22"/>
  <c r="AA45" i="61"/>
  <c r="AM5" i="61"/>
  <c r="AM3" i="49"/>
  <c r="AM3" i="50"/>
  <c r="AM3" i="22"/>
  <c r="AM45" i="22" s="1"/>
  <c r="AM3" i="48"/>
  <c r="AC36" i="61"/>
  <c r="AC35" i="61"/>
  <c r="AN6" i="61"/>
  <c r="AN4" i="49"/>
  <c r="AN4" i="50"/>
  <c r="AN4" i="22"/>
  <c r="AN4" i="48"/>
  <c r="AA63" i="61"/>
  <c r="AL9" i="61"/>
  <c r="AL7" i="49"/>
  <c r="AL7" i="50"/>
  <c r="AL7" i="22"/>
  <c r="AL7" i="48"/>
  <c r="AQ20" i="22"/>
  <c r="AA53" i="61"/>
  <c r="AL8" i="49"/>
  <c r="AL8" i="50"/>
  <c r="AL8" i="22"/>
  <c r="AL8" i="48"/>
  <c r="AM21" i="38"/>
  <c r="AN17" i="38"/>
  <c r="AM22" i="38"/>
  <c r="AO18" i="38"/>
  <c r="AB124" i="61" l="1"/>
  <c r="AB134" i="61"/>
  <c r="AB142" i="61"/>
  <c r="AB122" i="61"/>
  <c r="AB29" i="50" s="1"/>
  <c r="AC38" i="50"/>
  <c r="AB116" i="61"/>
  <c r="AB114" i="61"/>
  <c r="AB26" i="50" s="1"/>
  <c r="AB32" i="50" s="1"/>
  <c r="AB141" i="61"/>
  <c r="Y82" i="61"/>
  <c r="Y118" i="61" s="1"/>
  <c r="Z39" i="50"/>
  <c r="Y117" i="61"/>
  <c r="AC98" i="61"/>
  <c r="AC106" i="61"/>
  <c r="AC44" i="61"/>
  <c r="AC70" i="61"/>
  <c r="AC88" i="61"/>
  <c r="AC52" i="61"/>
  <c r="AC80" i="61"/>
  <c r="AC62" i="61"/>
  <c r="Y100" i="61"/>
  <c r="Y136" i="61" s="1"/>
  <c r="Y135" i="61"/>
  <c r="AB115" i="61"/>
  <c r="AB133" i="61"/>
  <c r="AB132" i="61"/>
  <c r="AB44" i="50"/>
  <c r="AA45" i="50"/>
  <c r="AA46" i="50" s="1"/>
  <c r="AC87" i="61"/>
  <c r="AC86" i="61"/>
  <c r="AC97" i="61"/>
  <c r="AC96" i="61"/>
  <c r="AC78" i="61"/>
  <c r="AC61" i="61"/>
  <c r="AC60" i="61"/>
  <c r="AC105" i="61"/>
  <c r="AC43" i="61"/>
  <c r="AC79" i="61"/>
  <c r="AC69" i="61"/>
  <c r="AC42" i="61"/>
  <c r="AC68" i="61"/>
  <c r="AC51" i="61"/>
  <c r="AC50" i="61"/>
  <c r="AC104" i="61"/>
  <c r="AB140" i="61"/>
  <c r="Y21" i="65"/>
  <c r="Y34" i="65" s="1"/>
  <c r="AA32" i="50"/>
  <c r="S49" i="22"/>
  <c r="Y90" i="61"/>
  <c r="Y126" i="61" s="1"/>
  <c r="Z40" i="50"/>
  <c r="Z21" i="63" s="1"/>
  <c r="Z34" i="63" s="1"/>
  <c r="T23" i="65"/>
  <c r="T33" i="65"/>
  <c r="T36" i="65" s="1"/>
  <c r="Y21" i="63"/>
  <c r="Y34" i="63" s="1"/>
  <c r="Y21" i="64"/>
  <c r="Y34" i="64" s="1"/>
  <c r="T33" i="63"/>
  <c r="T36" i="63" s="1"/>
  <c r="T23" i="63"/>
  <c r="T33" i="22"/>
  <c r="T36" i="22" s="1"/>
  <c r="T47" i="22" s="1"/>
  <c r="T23" i="22"/>
  <c r="U20" i="22"/>
  <c r="U20" i="63"/>
  <c r="U20" i="64"/>
  <c r="U20" i="65"/>
  <c r="T23" i="64"/>
  <c r="T33" i="64"/>
  <c r="T36" i="64" s="1"/>
  <c r="V31" i="50"/>
  <c r="V34" i="50" s="1"/>
  <c r="V33" i="50"/>
  <c r="Z99" i="61"/>
  <c r="Z89" i="61"/>
  <c r="Z125" i="61" s="1"/>
  <c r="Z81" i="61"/>
  <c r="Z107" i="61"/>
  <c r="Z143" i="61" s="1"/>
  <c r="Y108" i="61"/>
  <c r="Y144" i="61" s="1"/>
  <c r="AA72" i="61"/>
  <c r="AR19" i="49"/>
  <c r="AQ16" i="63"/>
  <c r="AQ17" i="63" s="1"/>
  <c r="AQ16" i="65"/>
  <c r="AQ17" i="65" s="1"/>
  <c r="AQ16" i="64"/>
  <c r="AQ17" i="64" s="1"/>
  <c r="AQ16" i="22"/>
  <c r="AQ17" i="22" s="1"/>
  <c r="AJ46" i="22"/>
  <c r="AI48" i="22"/>
  <c r="Z22" i="63"/>
  <c r="Z35" i="63" s="1"/>
  <c r="AL30" i="64"/>
  <c r="AO4" i="63"/>
  <c r="AO4" i="64"/>
  <c r="AO4" i="65"/>
  <c r="AR21" i="64"/>
  <c r="AR22" i="64"/>
  <c r="AR20" i="64"/>
  <c r="AM7" i="63"/>
  <c r="AM7" i="64"/>
  <c r="AM7" i="65"/>
  <c r="AR21" i="63"/>
  <c r="AR22" i="63"/>
  <c r="AR20" i="63"/>
  <c r="AN3" i="65"/>
  <c r="AN3" i="63"/>
  <c r="AN3" i="64"/>
  <c r="AR21" i="65"/>
  <c r="AR22" i="65"/>
  <c r="AR20" i="65"/>
  <c r="Z22" i="64"/>
  <c r="Z35" i="64" s="1"/>
  <c r="Z22" i="65"/>
  <c r="Z35" i="65" s="1"/>
  <c r="AK30" i="65"/>
  <c r="AL29" i="65"/>
  <c r="AL28" i="65"/>
  <c r="AM28" i="64"/>
  <c r="AM8" i="65"/>
  <c r="AL29" i="63"/>
  <c r="AL28" i="63"/>
  <c r="AK30" i="22"/>
  <c r="AK30" i="63"/>
  <c r="AM10" i="61"/>
  <c r="AB63" i="61"/>
  <c r="AA54" i="61"/>
  <c r="AD35" i="61"/>
  <c r="AA64" i="61"/>
  <c r="AO6" i="61"/>
  <c r="AO4" i="50"/>
  <c r="AO4" i="22"/>
  <c r="AO4" i="48"/>
  <c r="AO4" i="49"/>
  <c r="AN5" i="61"/>
  <c r="AN3" i="49"/>
  <c r="AN3" i="50"/>
  <c r="AN3" i="22"/>
  <c r="AN45" i="22" s="1"/>
  <c r="AN3" i="48"/>
  <c r="AB71" i="61"/>
  <c r="AA46" i="61"/>
  <c r="AR21" i="22"/>
  <c r="AR22" i="22"/>
  <c r="AR20" i="22"/>
  <c r="AM9" i="61"/>
  <c r="AM7" i="50"/>
  <c r="AM7" i="22"/>
  <c r="AM7" i="48"/>
  <c r="AM7" i="49"/>
  <c r="AL28" i="22"/>
  <c r="AL29" i="22"/>
  <c r="AD36" i="61"/>
  <c r="AB53" i="61"/>
  <c r="AB45" i="61"/>
  <c r="AM8" i="49"/>
  <c r="AM8" i="50"/>
  <c r="AM8" i="22"/>
  <c r="AM8" i="48"/>
  <c r="AN21" i="38"/>
  <c r="AP18" i="38"/>
  <c r="AO17" i="38"/>
  <c r="AN22" i="38"/>
  <c r="AC141" i="61" l="1"/>
  <c r="AC124" i="61"/>
  <c r="AC115" i="61"/>
  <c r="AC122" i="61"/>
  <c r="AC134" i="61"/>
  <c r="AC123" i="61"/>
  <c r="AC133" i="61"/>
  <c r="AC140" i="61"/>
  <c r="AD38" i="50"/>
  <c r="Z82" i="61"/>
  <c r="Z118" i="61" s="1"/>
  <c r="AA39" i="50"/>
  <c r="Z117" i="61"/>
  <c r="AC114" i="61"/>
  <c r="AC26" i="50" s="1"/>
  <c r="AB64" i="61"/>
  <c r="AB45" i="50"/>
  <c r="AB46" i="50" s="1"/>
  <c r="AD88" i="61"/>
  <c r="AD98" i="61"/>
  <c r="AD62" i="61"/>
  <c r="AD44" i="61"/>
  <c r="AD70" i="61"/>
  <c r="AD106" i="61"/>
  <c r="AD80" i="61"/>
  <c r="AD52" i="61"/>
  <c r="Z100" i="61"/>
  <c r="Z136" i="61" s="1"/>
  <c r="Z135" i="61"/>
  <c r="AC44" i="50"/>
  <c r="AC132" i="61"/>
  <c r="AD104" i="61"/>
  <c r="AD78" i="61"/>
  <c r="AD87" i="61"/>
  <c r="AD86" i="61"/>
  <c r="AD97" i="61"/>
  <c r="AD96" i="61"/>
  <c r="AD61" i="61"/>
  <c r="AD60" i="61"/>
  <c r="AD68" i="61"/>
  <c r="AD140" i="61" s="1"/>
  <c r="AD105" i="61"/>
  <c r="AD43" i="61"/>
  <c r="AD79" i="61"/>
  <c r="AD69" i="61"/>
  <c r="AD42" i="61"/>
  <c r="AD50" i="61"/>
  <c r="AD51" i="61"/>
  <c r="AC142" i="61"/>
  <c r="AC116" i="61"/>
  <c r="Z21" i="22"/>
  <c r="Z34" i="22" s="1"/>
  <c r="Z21" i="65"/>
  <c r="Z34" i="65" s="1"/>
  <c r="Z21" i="64"/>
  <c r="Z34" i="64" s="1"/>
  <c r="AC29" i="50"/>
  <c r="X27" i="50"/>
  <c r="X28" i="50" s="1"/>
  <c r="T49" i="22"/>
  <c r="X30" i="50"/>
  <c r="Z90" i="61"/>
  <c r="Z126" i="61" s="1"/>
  <c r="AA40" i="50"/>
  <c r="AA21" i="22" s="1"/>
  <c r="AA34" i="22" s="1"/>
  <c r="U33" i="64"/>
  <c r="U36" i="64" s="1"/>
  <c r="U23" i="64"/>
  <c r="U33" i="63"/>
  <c r="U36" i="63" s="1"/>
  <c r="U23" i="63"/>
  <c r="U33" i="22"/>
  <c r="U36" i="22" s="1"/>
  <c r="U47" i="22" s="1"/>
  <c r="U23" i="22"/>
  <c r="V20" i="65"/>
  <c r="V20" i="22"/>
  <c r="V20" i="63"/>
  <c r="V20" i="64"/>
  <c r="U33" i="65"/>
  <c r="U36" i="65" s="1"/>
  <c r="U23" i="65"/>
  <c r="AA81" i="61"/>
  <c r="AA107" i="61"/>
  <c r="AA143" i="61" s="1"/>
  <c r="AA99" i="61"/>
  <c r="AA89" i="61"/>
  <c r="AA125" i="61" s="1"/>
  <c r="AB72" i="61"/>
  <c r="Z108" i="61"/>
  <c r="Z144" i="61" s="1"/>
  <c r="AK46" i="22"/>
  <c r="AJ48" i="22"/>
  <c r="AR16" i="65"/>
  <c r="AR16" i="64"/>
  <c r="AR16" i="63"/>
  <c r="AR16" i="22"/>
  <c r="AR23" i="63"/>
  <c r="AR23" i="64"/>
  <c r="AM29" i="64"/>
  <c r="AM30" i="64" s="1"/>
  <c r="AL30" i="65"/>
  <c r="AP4" i="63"/>
  <c r="AP4" i="64"/>
  <c r="AP4" i="65"/>
  <c r="AO3" i="64"/>
  <c r="AO3" i="65"/>
  <c r="AO3" i="63"/>
  <c r="AR23" i="65"/>
  <c r="AN7" i="63"/>
  <c r="AN7" i="64"/>
  <c r="AN7" i="65"/>
  <c r="AA22" i="64"/>
  <c r="AA35" i="64" s="1"/>
  <c r="AA22" i="65"/>
  <c r="AA35" i="65" s="1"/>
  <c r="AM28" i="65"/>
  <c r="AM29" i="65"/>
  <c r="AN29" i="64"/>
  <c r="AN8" i="65"/>
  <c r="AN28" i="64"/>
  <c r="AL30" i="63"/>
  <c r="AA22" i="22"/>
  <c r="AA35" i="22" s="1"/>
  <c r="AA22" i="63"/>
  <c r="AA35" i="63" s="1"/>
  <c r="AM28" i="63"/>
  <c r="AM29" i="63"/>
  <c r="AN10" i="61"/>
  <c r="AB46" i="61"/>
  <c r="AL30" i="22"/>
  <c r="AB54" i="61"/>
  <c r="AC63" i="61"/>
  <c r="AC45" i="61"/>
  <c r="AC53" i="61"/>
  <c r="AO5" i="61"/>
  <c r="AO3" i="49"/>
  <c r="AO3" i="48"/>
  <c r="AO3" i="50"/>
  <c r="AO3" i="22"/>
  <c r="AO45" i="22" s="1"/>
  <c r="AP6" i="61"/>
  <c r="AP4" i="50"/>
  <c r="AP4" i="22"/>
  <c r="AP4" i="49"/>
  <c r="AP4" i="48"/>
  <c r="AE35" i="61"/>
  <c r="AR23" i="22"/>
  <c r="AM28" i="22"/>
  <c r="AM29" i="22"/>
  <c r="AE36" i="61"/>
  <c r="AC71" i="61"/>
  <c r="AN9" i="61"/>
  <c r="AN7" i="22"/>
  <c r="AN7" i="49"/>
  <c r="AN7" i="48"/>
  <c r="AN7" i="50"/>
  <c r="AN8" i="50"/>
  <c r="AN8" i="22"/>
  <c r="AN8" i="48"/>
  <c r="AN8" i="49"/>
  <c r="AO21" i="38"/>
  <c r="AQ18" i="38"/>
  <c r="AP17" i="38"/>
  <c r="AO22" i="38"/>
  <c r="AD134" i="61" l="1"/>
  <c r="AD141" i="61"/>
  <c r="AD122" i="61"/>
  <c r="AC32" i="50"/>
  <c r="AD133" i="61"/>
  <c r="AD114" i="61"/>
  <c r="AD26" i="50" s="1"/>
  <c r="AD124" i="61"/>
  <c r="AD115" i="61"/>
  <c r="AD116" i="61"/>
  <c r="AE88" i="61"/>
  <c r="AE98" i="61"/>
  <c r="AE80" i="61"/>
  <c r="AE62" i="61"/>
  <c r="AE44" i="61"/>
  <c r="AE70" i="61"/>
  <c r="AE106" i="61"/>
  <c r="AE52" i="61"/>
  <c r="AA82" i="61"/>
  <c r="AA118" i="61" s="1"/>
  <c r="AB39" i="50"/>
  <c r="AB40" i="50" s="1"/>
  <c r="AB21" i="22" s="1"/>
  <c r="AB34" i="22" s="1"/>
  <c r="AA117" i="61"/>
  <c r="AE38" i="50"/>
  <c r="AC45" i="50"/>
  <c r="AC46" i="50" s="1"/>
  <c r="AE105" i="61"/>
  <c r="AE79" i="61"/>
  <c r="AE104" i="61"/>
  <c r="AE78" i="61"/>
  <c r="AE87" i="61"/>
  <c r="AE86" i="61"/>
  <c r="AE50" i="61"/>
  <c r="AE96" i="61"/>
  <c r="AE61" i="61"/>
  <c r="AE97" i="61"/>
  <c r="AE60" i="61"/>
  <c r="AE69" i="61"/>
  <c r="AE43" i="61"/>
  <c r="AE68" i="61"/>
  <c r="AE42" i="61"/>
  <c r="AE51" i="61"/>
  <c r="AA21" i="63"/>
  <c r="AA34" i="63" s="1"/>
  <c r="AA100" i="61"/>
  <c r="AA136" i="61" s="1"/>
  <c r="AA135" i="61"/>
  <c r="AD123" i="61"/>
  <c r="AD44" i="50"/>
  <c r="AD132" i="61"/>
  <c r="AD142" i="61"/>
  <c r="AD29" i="50"/>
  <c r="AA21" i="65"/>
  <c r="AA34" i="65" s="1"/>
  <c r="AA21" i="64"/>
  <c r="AA34" i="64" s="1"/>
  <c r="Y27" i="50"/>
  <c r="Y28" i="50" s="1"/>
  <c r="U49" i="22"/>
  <c r="V33" i="63"/>
  <c r="V36" i="63" s="1"/>
  <c r="V23" i="63"/>
  <c r="V23" i="64"/>
  <c r="V33" i="64"/>
  <c r="V36" i="64" s="1"/>
  <c r="AA90" i="61"/>
  <c r="AA126" i="61" s="1"/>
  <c r="V33" i="22"/>
  <c r="V36" i="22" s="1"/>
  <c r="V47" i="22" s="1"/>
  <c r="V23" i="22"/>
  <c r="X31" i="50"/>
  <c r="X34" i="50" s="1"/>
  <c r="X33" i="50"/>
  <c r="Y30" i="50"/>
  <c r="V33" i="65"/>
  <c r="V36" i="65" s="1"/>
  <c r="V23" i="65"/>
  <c r="AC72" i="61"/>
  <c r="AB89" i="61"/>
  <c r="AB125" i="61" s="1"/>
  <c r="AB81" i="61"/>
  <c r="AB99" i="61"/>
  <c r="AA108" i="61"/>
  <c r="AA144" i="61" s="1"/>
  <c r="AB107" i="61"/>
  <c r="AB143" i="61" s="1"/>
  <c r="AR17" i="65"/>
  <c r="H17" i="65" s="1"/>
  <c r="H16" i="65"/>
  <c r="AR17" i="22"/>
  <c r="H17" i="22" s="1"/>
  <c r="H16" i="22"/>
  <c r="AR17" i="64"/>
  <c r="H17" i="64" s="1"/>
  <c r="H16" i="64"/>
  <c r="AR17" i="63"/>
  <c r="H17" i="63" s="1"/>
  <c r="H16" i="63"/>
  <c r="AL46" i="22"/>
  <c r="AK48" i="22"/>
  <c r="AP3" i="63"/>
  <c r="AP3" i="64"/>
  <c r="AP3" i="65"/>
  <c r="AQ4" i="63"/>
  <c r="AQ4" i="64"/>
  <c r="AQ4" i="65"/>
  <c r="AO7" i="64"/>
  <c r="AO7" i="65"/>
  <c r="AO7" i="63"/>
  <c r="AM30" i="65"/>
  <c r="AO8" i="65"/>
  <c r="AB22" i="64"/>
  <c r="AB35" i="64" s="1"/>
  <c r="AB22" i="65"/>
  <c r="AB35" i="65" s="1"/>
  <c r="AN28" i="65"/>
  <c r="AN29" i="65"/>
  <c r="AO29" i="64"/>
  <c r="AO28" i="64"/>
  <c r="AM30" i="63"/>
  <c r="AN30" i="64"/>
  <c r="AM30" i="22"/>
  <c r="AB22" i="22"/>
  <c r="AB35" i="22" s="1"/>
  <c r="AB22" i="63"/>
  <c r="AB35" i="63" s="1"/>
  <c r="AN29" i="63"/>
  <c r="AN28" i="63"/>
  <c r="AO10" i="61"/>
  <c r="AD63" i="61"/>
  <c r="AD45" i="61"/>
  <c r="AP5" i="61"/>
  <c r="AP3" i="50"/>
  <c r="AP3" i="48"/>
  <c r="AP3" i="22"/>
  <c r="AP45" i="22" s="1"/>
  <c r="AP3" i="49"/>
  <c r="AC54" i="61"/>
  <c r="AN29" i="22"/>
  <c r="AN28" i="22"/>
  <c r="AQ6" i="61"/>
  <c r="AQ4" i="22"/>
  <c r="AQ4" i="48"/>
  <c r="AQ4" i="49"/>
  <c r="AQ4" i="50"/>
  <c r="AF36" i="61"/>
  <c r="AF35" i="61"/>
  <c r="AC46" i="61"/>
  <c r="AD71" i="61"/>
  <c r="AO9" i="61"/>
  <c r="AO7" i="48"/>
  <c r="AO7" i="49"/>
  <c r="AO7" i="50"/>
  <c r="AO7" i="22"/>
  <c r="AD53" i="61"/>
  <c r="AC64" i="61"/>
  <c r="AO8" i="50"/>
  <c r="AO8" i="48"/>
  <c r="AO8" i="22"/>
  <c r="AO8" i="49"/>
  <c r="AP21" i="38"/>
  <c r="AQ17" i="38"/>
  <c r="AP22" i="38"/>
  <c r="AR18" i="38"/>
  <c r="AE140" i="61" l="1"/>
  <c r="AE141" i="61"/>
  <c r="AE115" i="61"/>
  <c r="AE124" i="61"/>
  <c r="AE142" i="61"/>
  <c r="AE116" i="61"/>
  <c r="AE134" i="61"/>
  <c r="AF106" i="61"/>
  <c r="AF80" i="61"/>
  <c r="AF88" i="61"/>
  <c r="AF98" i="61"/>
  <c r="AF62" i="61"/>
  <c r="AF70" i="61"/>
  <c r="AF44" i="61"/>
  <c r="AF52" i="61"/>
  <c r="AF38" i="50"/>
  <c r="AE44" i="50"/>
  <c r="AE132" i="61"/>
  <c r="AB100" i="61"/>
  <c r="AB136" i="61" s="1"/>
  <c r="AB135" i="61"/>
  <c r="AE133" i="61"/>
  <c r="AB82" i="61"/>
  <c r="AB118" i="61" s="1"/>
  <c r="AC39" i="50"/>
  <c r="AC40" i="50" s="1"/>
  <c r="AC21" i="22" s="1"/>
  <c r="AC34" i="22" s="1"/>
  <c r="AB117" i="61"/>
  <c r="AE123" i="61"/>
  <c r="AF105" i="61"/>
  <c r="AF79" i="61"/>
  <c r="AF104" i="61"/>
  <c r="AF78" i="61"/>
  <c r="AF87" i="61"/>
  <c r="AF86" i="61"/>
  <c r="AF51" i="61"/>
  <c r="AF123" i="61" s="1"/>
  <c r="AF50" i="61"/>
  <c r="AF96" i="61"/>
  <c r="AF61" i="61"/>
  <c r="AF60" i="61"/>
  <c r="AF43" i="61"/>
  <c r="AF69" i="61"/>
  <c r="AF42" i="61"/>
  <c r="AF68" i="61"/>
  <c r="AF140" i="61" s="1"/>
  <c r="AF97" i="61"/>
  <c r="AD64" i="61"/>
  <c r="AD45" i="50"/>
  <c r="AD46" i="50" s="1"/>
  <c r="AD32" i="50"/>
  <c r="AE114" i="61"/>
  <c r="AE26" i="50" s="1"/>
  <c r="AE122" i="61"/>
  <c r="AE29" i="50" s="1"/>
  <c r="Z27" i="50"/>
  <c r="Z28" i="50" s="1"/>
  <c r="AB21" i="63"/>
  <c r="AB34" i="63" s="1"/>
  <c r="W47" i="22"/>
  <c r="V49" i="22"/>
  <c r="AB21" i="65"/>
  <c r="AB34" i="65" s="1"/>
  <c r="Y31" i="50"/>
  <c r="Y34" i="50" s="1"/>
  <c r="Y33" i="50"/>
  <c r="X20" i="65"/>
  <c r="X20" i="64"/>
  <c r="X20" i="22"/>
  <c r="X20" i="63"/>
  <c r="Z30" i="50"/>
  <c r="AB21" i="64"/>
  <c r="AB34" i="64" s="1"/>
  <c r="AB90" i="61"/>
  <c r="AB126" i="61" s="1"/>
  <c r="AD72" i="61"/>
  <c r="AB108" i="61"/>
  <c r="AB144" i="61" s="1"/>
  <c r="AC89" i="61"/>
  <c r="AC125" i="61" s="1"/>
  <c r="AC81" i="61"/>
  <c r="AC107" i="61"/>
  <c r="AC143" i="61" s="1"/>
  <c r="AC99" i="61"/>
  <c r="AO30" i="64"/>
  <c r="AM46" i="22"/>
  <c r="AL48" i="22"/>
  <c r="AE53" i="61"/>
  <c r="AR4" i="64"/>
  <c r="AR4" i="65"/>
  <c r="AR4" i="63"/>
  <c r="AQ3" i="63"/>
  <c r="AQ3" i="64"/>
  <c r="AQ3" i="65"/>
  <c r="AP7" i="64"/>
  <c r="AP7" i="65"/>
  <c r="AP7" i="63"/>
  <c r="AN30" i="63"/>
  <c r="AN30" i="65"/>
  <c r="AO29" i="65"/>
  <c r="AO28" i="65"/>
  <c r="AP29" i="64"/>
  <c r="AP8" i="65"/>
  <c r="AC22" i="64"/>
  <c r="AC35" i="64" s="1"/>
  <c r="AC22" i="65"/>
  <c r="AC35" i="65" s="1"/>
  <c r="AP10" i="61"/>
  <c r="AC22" i="22"/>
  <c r="AC35" i="22" s="1"/>
  <c r="AC22" i="63"/>
  <c r="AC35" i="63" s="1"/>
  <c r="AO29" i="63"/>
  <c r="AO28" i="63"/>
  <c r="AN30" i="22"/>
  <c r="AD46" i="61"/>
  <c r="AD54" i="61"/>
  <c r="AE45" i="61"/>
  <c r="AR6" i="61"/>
  <c r="AR4" i="48"/>
  <c r="AR4" i="49"/>
  <c r="AR4" i="50"/>
  <c r="AR4" i="22"/>
  <c r="AE71" i="61"/>
  <c r="AP9" i="61"/>
  <c r="AP7" i="48"/>
  <c r="AP7" i="49"/>
  <c r="AP7" i="50"/>
  <c r="AP7" i="22"/>
  <c r="AQ5" i="61"/>
  <c r="AQ3" i="50"/>
  <c r="AQ3" i="22"/>
  <c r="AQ45" i="22" s="1"/>
  <c r="AQ3" i="48"/>
  <c r="AQ3" i="49"/>
  <c r="AO28" i="22"/>
  <c r="AO29" i="22"/>
  <c r="AE63" i="61"/>
  <c r="AP8" i="22"/>
  <c r="AP8" i="48"/>
  <c r="AP8" i="50"/>
  <c r="AP8" i="49"/>
  <c r="AQ21" i="38"/>
  <c r="AR17" i="38"/>
  <c r="AQ22" i="38"/>
  <c r="AF114" i="61" l="1"/>
  <c r="AF115" i="61"/>
  <c r="AF124" i="61"/>
  <c r="AF116" i="61"/>
  <c r="AF141" i="61"/>
  <c r="AG38" i="50"/>
  <c r="AF142" i="61"/>
  <c r="AF133" i="61"/>
  <c r="AE64" i="61"/>
  <c r="AE45" i="50"/>
  <c r="AE46" i="50" s="1"/>
  <c r="AC100" i="61"/>
  <c r="AC136" i="61" s="1"/>
  <c r="AC135" i="61"/>
  <c r="AF134" i="61"/>
  <c r="AF132" i="61"/>
  <c r="AF44" i="50"/>
  <c r="AC82" i="61"/>
  <c r="AC118" i="61" s="1"/>
  <c r="AD39" i="50"/>
  <c r="AD40" i="50" s="1"/>
  <c r="AD21" i="64" s="1"/>
  <c r="AD34" i="64" s="1"/>
  <c r="AC117" i="61"/>
  <c r="AE54" i="61"/>
  <c r="AF122" i="61"/>
  <c r="AF29" i="50" s="1"/>
  <c r="AE32" i="50"/>
  <c r="AC21" i="65"/>
  <c r="AC34" i="65" s="1"/>
  <c r="AC21" i="63"/>
  <c r="AC34" i="63" s="1"/>
  <c r="AC21" i="64"/>
  <c r="AC34" i="64" s="1"/>
  <c r="AF26" i="50"/>
  <c r="AA27" i="50"/>
  <c r="AA28" i="50" s="1"/>
  <c r="Z31" i="50"/>
  <c r="Z34" i="50" s="1"/>
  <c r="Z33" i="50"/>
  <c r="AC90" i="61"/>
  <c r="AC126" i="61" s="1"/>
  <c r="X33" i="64"/>
  <c r="X36" i="64" s="1"/>
  <c r="X23" i="64"/>
  <c r="Y20" i="22"/>
  <c r="Y20" i="64"/>
  <c r="Y20" i="63"/>
  <c r="Y20" i="65"/>
  <c r="X33" i="65"/>
  <c r="X36" i="65" s="1"/>
  <c r="X23" i="65"/>
  <c r="X33" i="22"/>
  <c r="X36" i="22" s="1"/>
  <c r="X47" i="22" s="1"/>
  <c r="X23" i="22"/>
  <c r="AA30" i="50"/>
  <c r="X33" i="63"/>
  <c r="X36" i="63" s="1"/>
  <c r="X23" i="63"/>
  <c r="W49" i="22"/>
  <c r="AC108" i="61"/>
  <c r="AC144" i="61" s="1"/>
  <c r="AD107" i="61"/>
  <c r="AD143" i="61" s="1"/>
  <c r="AD99" i="61"/>
  <c r="AD89" i="61"/>
  <c r="AD125" i="61" s="1"/>
  <c r="AD81" i="61"/>
  <c r="AN46" i="22"/>
  <c r="AM48" i="22"/>
  <c r="AR3" i="63"/>
  <c r="AR3" i="64"/>
  <c r="AR3" i="65"/>
  <c r="AQ7" i="65"/>
  <c r="AQ7" i="63"/>
  <c r="AQ7" i="64"/>
  <c r="AP28" i="64"/>
  <c r="AP30" i="64" s="1"/>
  <c r="AQ29" i="64"/>
  <c r="AQ8" i="65"/>
  <c r="AO30" i="65"/>
  <c r="AO30" i="63"/>
  <c r="AP29" i="65"/>
  <c r="AP28" i="65"/>
  <c r="AD22" i="64"/>
  <c r="AD35" i="64" s="1"/>
  <c r="AD22" i="65"/>
  <c r="AD35" i="65" s="1"/>
  <c r="AQ28" i="64"/>
  <c r="AQ33" i="64"/>
  <c r="AD22" i="22"/>
  <c r="AD35" i="22" s="1"/>
  <c r="AD22" i="63"/>
  <c r="AD35" i="63" s="1"/>
  <c r="AP29" i="63"/>
  <c r="AP28" i="63"/>
  <c r="AQ10" i="61"/>
  <c r="AF63" i="61"/>
  <c r="AO30" i="22"/>
  <c r="AH35" i="61"/>
  <c r="AH36" i="61"/>
  <c r="AF53" i="61"/>
  <c r="AE72" i="61"/>
  <c r="AF71" i="61"/>
  <c r="AP29" i="22"/>
  <c r="AP28" i="22"/>
  <c r="AQ9" i="61"/>
  <c r="AQ7" i="48"/>
  <c r="AQ7" i="49"/>
  <c r="AQ7" i="50"/>
  <c r="AQ7" i="22"/>
  <c r="AE46" i="61"/>
  <c r="AR5" i="61"/>
  <c r="AR3" i="22"/>
  <c r="AR45" i="22" s="1"/>
  <c r="AR3" i="48"/>
  <c r="AR3" i="49"/>
  <c r="AR3" i="50"/>
  <c r="AF45" i="61"/>
  <c r="AQ8" i="22"/>
  <c r="AQ8" i="48"/>
  <c r="AQ8" i="49"/>
  <c r="AQ8" i="50"/>
  <c r="AR21" i="38"/>
  <c r="AR22" i="38"/>
  <c r="AD100" i="61" l="1"/>
  <c r="AD136" i="61" s="1"/>
  <c r="AD135" i="61"/>
  <c r="AH97" i="61"/>
  <c r="AH96" i="61"/>
  <c r="AH105" i="61"/>
  <c r="AH79" i="61"/>
  <c r="AH104" i="61"/>
  <c r="AH78" i="61"/>
  <c r="AH69" i="61"/>
  <c r="AH42" i="61"/>
  <c r="AH87" i="61"/>
  <c r="AH68" i="61"/>
  <c r="AH51" i="61"/>
  <c r="AH50" i="61"/>
  <c r="AH43" i="61"/>
  <c r="AH61" i="61"/>
  <c r="AH60" i="61"/>
  <c r="AH86" i="61"/>
  <c r="AF64" i="61"/>
  <c r="AF45" i="50"/>
  <c r="AF46" i="50" s="1"/>
  <c r="AD82" i="61"/>
  <c r="AD118" i="61" s="1"/>
  <c r="AE39" i="50"/>
  <c r="AE40" i="50" s="1"/>
  <c r="AE21" i="22" s="1"/>
  <c r="AE34" i="22" s="1"/>
  <c r="AD117" i="61"/>
  <c r="AF32" i="50"/>
  <c r="AH106" i="61"/>
  <c r="AH88" i="61"/>
  <c r="AH52" i="61"/>
  <c r="AH80" i="61"/>
  <c r="AH98" i="61"/>
  <c r="AH62" i="61"/>
  <c r="AH70" i="61"/>
  <c r="AH44" i="61"/>
  <c r="AD21" i="63"/>
  <c r="AD34" i="63" s="1"/>
  <c r="AG22" i="65"/>
  <c r="AG35" i="65" s="1"/>
  <c r="AG22" i="63"/>
  <c r="AG35" i="63" s="1"/>
  <c r="AG22" i="22"/>
  <c r="AG35" i="22" s="1"/>
  <c r="AG22" i="64"/>
  <c r="AG35" i="64" s="1"/>
  <c r="AB27" i="50"/>
  <c r="AB28" i="50" s="1"/>
  <c r="X49" i="22"/>
  <c r="AD21" i="65"/>
  <c r="AD34" i="65" s="1"/>
  <c r="AD90" i="61"/>
  <c r="AD126" i="61" s="1"/>
  <c r="Y23" i="22"/>
  <c r="Y33" i="22"/>
  <c r="Y36" i="22" s="1"/>
  <c r="Y47" i="22" s="1"/>
  <c r="Y23" i="64"/>
  <c r="Y33" i="64"/>
  <c r="Y36" i="64" s="1"/>
  <c r="AD21" i="22"/>
  <c r="AD34" i="22" s="1"/>
  <c r="AB30" i="50"/>
  <c r="Y33" i="65"/>
  <c r="Y36" i="65" s="1"/>
  <c r="Y23" i="65"/>
  <c r="AA31" i="50"/>
  <c r="AA34" i="50" s="1"/>
  <c r="AA33" i="50"/>
  <c r="Y23" i="63"/>
  <c r="Y33" i="63"/>
  <c r="Y36" i="63" s="1"/>
  <c r="Z20" i="22"/>
  <c r="Z20" i="64"/>
  <c r="Z20" i="63"/>
  <c r="Z20" i="65"/>
  <c r="AE81" i="61"/>
  <c r="AE107" i="61"/>
  <c r="AE143" i="61" s="1"/>
  <c r="AE99" i="61"/>
  <c r="AE89" i="61"/>
  <c r="AE125" i="61" s="1"/>
  <c r="AD108" i="61"/>
  <c r="AD144" i="61" s="1"/>
  <c r="AF72" i="61"/>
  <c r="AP30" i="65"/>
  <c r="AO46" i="22"/>
  <c r="AN48" i="22"/>
  <c r="AQ30" i="64"/>
  <c r="AR7" i="65"/>
  <c r="AR7" i="63"/>
  <c r="AR7" i="64"/>
  <c r="AE22" i="64"/>
  <c r="AE35" i="64" s="1"/>
  <c r="AE22" i="65"/>
  <c r="AE35" i="65" s="1"/>
  <c r="AQ28" i="65"/>
  <c r="AQ29" i="65"/>
  <c r="AQ33" i="65"/>
  <c r="AR28" i="64"/>
  <c r="AR8" i="65"/>
  <c r="AP30" i="63"/>
  <c r="AR10" i="61"/>
  <c r="AE22" i="22"/>
  <c r="AE35" i="22" s="1"/>
  <c r="AE22" i="63"/>
  <c r="AE35" i="63" s="1"/>
  <c r="AQ29" i="63"/>
  <c r="AQ28" i="63"/>
  <c r="AQ30" i="63" s="1"/>
  <c r="AQ33" i="63"/>
  <c r="AF54" i="61"/>
  <c r="AR9" i="61"/>
  <c r="AR7" i="49"/>
  <c r="AR7" i="50"/>
  <c r="AR7" i="48"/>
  <c r="AR7" i="22"/>
  <c r="AI36" i="61"/>
  <c r="AP30" i="22"/>
  <c r="AI35" i="61"/>
  <c r="AQ28" i="22"/>
  <c r="AQ29" i="22"/>
  <c r="AQ33" i="22"/>
  <c r="AF46" i="61"/>
  <c r="AR8" i="49"/>
  <c r="AR8" i="48"/>
  <c r="AR8" i="50"/>
  <c r="AR8" i="22"/>
  <c r="AH134" i="61" l="1"/>
  <c r="AH140" i="61"/>
  <c r="AH123" i="61"/>
  <c r="AH124" i="61"/>
  <c r="AH115" i="61"/>
  <c r="AH114" i="61"/>
  <c r="AH26" i="50" s="1"/>
  <c r="AI97" i="61"/>
  <c r="AI96" i="61"/>
  <c r="AI105" i="61"/>
  <c r="AI79" i="61"/>
  <c r="AI104" i="61"/>
  <c r="AI43" i="61"/>
  <c r="AI78" i="61"/>
  <c r="AI69" i="61"/>
  <c r="AI42" i="61"/>
  <c r="AI87" i="61"/>
  <c r="AI68" i="61"/>
  <c r="AI51" i="61"/>
  <c r="AI50" i="61"/>
  <c r="AI61" i="61"/>
  <c r="AI60" i="61"/>
  <c r="AI86" i="61"/>
  <c r="AE100" i="61"/>
  <c r="AE136" i="61" s="1"/>
  <c r="AE135" i="61"/>
  <c r="AH116" i="61"/>
  <c r="AH132" i="61"/>
  <c r="AH44" i="50"/>
  <c r="AH141" i="61"/>
  <c r="AI98" i="61"/>
  <c r="AI106" i="61"/>
  <c r="AI70" i="61"/>
  <c r="AI52" i="61"/>
  <c r="AI80" i="61"/>
  <c r="AI88" i="61"/>
  <c r="AI44" i="61"/>
  <c r="AI62" i="61"/>
  <c r="AE82" i="61"/>
  <c r="AE118" i="61" s="1"/>
  <c r="AF39" i="50"/>
  <c r="AF40" i="50" s="1"/>
  <c r="AF21" i="65" s="1"/>
  <c r="AF34" i="65" s="1"/>
  <c r="AE117" i="61"/>
  <c r="AH142" i="61"/>
  <c r="AH133" i="61"/>
  <c r="AI38" i="50"/>
  <c r="AH122" i="61"/>
  <c r="AH29" i="50" s="1"/>
  <c r="AE21" i="65"/>
  <c r="AE34" i="65" s="1"/>
  <c r="AE21" i="64"/>
  <c r="AE34" i="64" s="1"/>
  <c r="AE21" i="63"/>
  <c r="AE34" i="63" s="1"/>
  <c r="AC27" i="50"/>
  <c r="AC28" i="50" s="1"/>
  <c r="Y49" i="22"/>
  <c r="Z33" i="22"/>
  <c r="Z36" i="22" s="1"/>
  <c r="Z47" i="22" s="1"/>
  <c r="Z23" i="22"/>
  <c r="AA20" i="65"/>
  <c r="AA20" i="63"/>
  <c r="AA20" i="64"/>
  <c r="AA20" i="22"/>
  <c r="Z33" i="64"/>
  <c r="Z36" i="64" s="1"/>
  <c r="Z23" i="64"/>
  <c r="AB31" i="50"/>
  <c r="AB34" i="50" s="1"/>
  <c r="AB33" i="50"/>
  <c r="AC30" i="50"/>
  <c r="AE90" i="61"/>
  <c r="AE126" i="61" s="1"/>
  <c r="Z23" i="65"/>
  <c r="Z33" i="65"/>
  <c r="Z36" i="65" s="1"/>
  <c r="Z33" i="63"/>
  <c r="Z36" i="63" s="1"/>
  <c r="Z23" i="63"/>
  <c r="AE108" i="61"/>
  <c r="AE144" i="61" s="1"/>
  <c r="AF99" i="61"/>
  <c r="AF89" i="61"/>
  <c r="AF125" i="61" s="1"/>
  <c r="AF81" i="61"/>
  <c r="AF107" i="61"/>
  <c r="AF143" i="61" s="1"/>
  <c r="AP46" i="22"/>
  <c r="AO48" i="22"/>
  <c r="AH45" i="61"/>
  <c r="AH71" i="61"/>
  <c r="AR33" i="64"/>
  <c r="AR35" i="64"/>
  <c r="AR29" i="65"/>
  <c r="H29" i="65" s="1"/>
  <c r="AR28" i="65"/>
  <c r="AR35" i="65"/>
  <c r="AR34" i="65"/>
  <c r="AR33" i="65"/>
  <c r="AQ30" i="65"/>
  <c r="AR29" i="64"/>
  <c r="H29" i="64" s="1"/>
  <c r="AR34" i="64"/>
  <c r="AF22" i="64"/>
  <c r="AF35" i="64" s="1"/>
  <c r="AF22" i="65"/>
  <c r="AF35" i="65" s="1"/>
  <c r="H28" i="64"/>
  <c r="AR28" i="63"/>
  <c r="AR29" i="63"/>
  <c r="H29" i="63" s="1"/>
  <c r="AR35" i="63"/>
  <c r="AR34" i="63"/>
  <c r="AR33" i="63"/>
  <c r="AF22" i="22"/>
  <c r="AF35" i="22" s="1"/>
  <c r="AF22" i="63"/>
  <c r="AF35" i="63" s="1"/>
  <c r="AH63" i="61"/>
  <c r="AR28" i="22"/>
  <c r="H28" i="22" s="1"/>
  <c r="AR29" i="22"/>
  <c r="AR35" i="22"/>
  <c r="AR34" i="22"/>
  <c r="AR33" i="22"/>
  <c r="AH53" i="61"/>
  <c r="AJ35" i="61"/>
  <c r="AJ36" i="61"/>
  <c r="AQ30" i="22"/>
  <c r="A1" i="41"/>
  <c r="A1" i="40"/>
  <c r="A1" i="38"/>
  <c r="AI123" i="61" l="1"/>
  <c r="AI133" i="61"/>
  <c r="AI142" i="61"/>
  <c r="AI115" i="61"/>
  <c r="AI116" i="61"/>
  <c r="AH32" i="50"/>
  <c r="AI141" i="61"/>
  <c r="AI132" i="61"/>
  <c r="AI44" i="50"/>
  <c r="AJ38" i="50"/>
  <c r="AJ98" i="61"/>
  <c r="AJ106" i="61"/>
  <c r="AJ44" i="61"/>
  <c r="AJ70" i="61"/>
  <c r="AJ52" i="61"/>
  <c r="AJ80" i="61"/>
  <c r="AJ88" i="61"/>
  <c r="AJ62" i="61"/>
  <c r="AH45" i="50"/>
  <c r="AH46" i="50" s="1"/>
  <c r="AH22" i="63" s="1"/>
  <c r="AH35" i="63" s="1"/>
  <c r="AJ86" i="61"/>
  <c r="AJ97" i="61"/>
  <c r="AJ96" i="61"/>
  <c r="AJ60" i="61"/>
  <c r="AJ104" i="61"/>
  <c r="AJ43" i="61"/>
  <c r="AJ79" i="61"/>
  <c r="AJ78" i="61"/>
  <c r="AJ69" i="61"/>
  <c r="AJ42" i="61"/>
  <c r="AJ87" i="61"/>
  <c r="AJ68" i="61"/>
  <c r="AJ105" i="61"/>
  <c r="AJ51" i="61"/>
  <c r="AJ50" i="61"/>
  <c r="AJ61" i="61"/>
  <c r="AI124" i="61"/>
  <c r="AI122" i="61"/>
  <c r="AI29" i="50" s="1"/>
  <c r="AF82" i="61"/>
  <c r="AF118" i="61" s="1"/>
  <c r="AG39" i="50"/>
  <c r="AG40" i="50" s="1"/>
  <c r="AF117" i="61"/>
  <c r="AI140" i="61"/>
  <c r="AF100" i="61"/>
  <c r="AF136" i="61" s="1"/>
  <c r="AF135" i="61"/>
  <c r="AH72" i="61"/>
  <c r="AI134" i="61"/>
  <c r="AI114" i="61"/>
  <c r="AI26" i="50" s="1"/>
  <c r="AF21" i="64"/>
  <c r="AF34" i="64" s="1"/>
  <c r="AD27" i="50"/>
  <c r="AD28" i="50" s="1"/>
  <c r="AH46" i="61"/>
  <c r="AF21" i="63"/>
  <c r="AF34" i="63" s="1"/>
  <c r="AF21" i="22"/>
  <c r="AF34" i="22" s="1"/>
  <c r="AF90" i="61"/>
  <c r="AF126" i="61" s="1"/>
  <c r="AA23" i="22"/>
  <c r="AA33" i="22"/>
  <c r="AA36" i="22" s="1"/>
  <c r="AA47" i="22" s="1"/>
  <c r="AD30" i="50"/>
  <c r="AC31" i="50"/>
  <c r="AC34" i="50" s="1"/>
  <c r="AC33" i="50"/>
  <c r="AB20" i="64"/>
  <c r="AB20" i="22"/>
  <c r="AB20" i="63"/>
  <c r="AB20" i="65"/>
  <c r="AA23" i="64"/>
  <c r="AA33" i="64"/>
  <c r="AA36" i="64" s="1"/>
  <c r="AA23" i="63"/>
  <c r="AA33" i="63"/>
  <c r="AA36" i="63" s="1"/>
  <c r="Z49" i="22"/>
  <c r="AA33" i="65"/>
  <c r="AA36" i="65" s="1"/>
  <c r="AA23" i="65"/>
  <c r="AF108" i="61"/>
  <c r="AF144" i="61" s="1"/>
  <c r="AQ46" i="22"/>
  <c r="AP48" i="22"/>
  <c r="AH64" i="61"/>
  <c r="AR36" i="64"/>
  <c r="AR36" i="65"/>
  <c r="AR30" i="65"/>
  <c r="H30" i="65" s="1"/>
  <c r="H47" i="65" s="1"/>
  <c r="H28" i="65"/>
  <c r="AR30" i="64"/>
  <c r="H30" i="64" s="1"/>
  <c r="AR36" i="63"/>
  <c r="AR30" i="63"/>
  <c r="H30" i="63" s="1"/>
  <c r="H28" i="63"/>
  <c r="AI63" i="61"/>
  <c r="AH54" i="61"/>
  <c r="AH40" i="50"/>
  <c r="AK35" i="61"/>
  <c r="AI45" i="61"/>
  <c r="AR36" i="22"/>
  <c r="AI53" i="61"/>
  <c r="AK36" i="61"/>
  <c r="AR30" i="22"/>
  <c r="H30" i="22" s="1"/>
  <c r="H29" i="22"/>
  <c r="AI71" i="61"/>
  <c r="AK38" i="50" l="1"/>
  <c r="AJ122" i="61"/>
  <c r="AJ123" i="61"/>
  <c r="AJ134" i="61"/>
  <c r="AJ142" i="61"/>
  <c r="AJ140" i="61"/>
  <c r="AJ114" i="61"/>
  <c r="AJ26" i="50" s="1"/>
  <c r="AJ116" i="61"/>
  <c r="AJ141" i="61"/>
  <c r="AJ133" i="61"/>
  <c r="AJ115" i="61"/>
  <c r="AI64" i="61"/>
  <c r="AI45" i="50"/>
  <c r="AI46" i="50" s="1"/>
  <c r="AJ132" i="61"/>
  <c r="AJ44" i="50"/>
  <c r="AK87" i="61"/>
  <c r="AK86" i="61"/>
  <c r="AK97" i="61"/>
  <c r="AK96" i="61"/>
  <c r="AK61" i="61"/>
  <c r="AK60" i="61"/>
  <c r="AK104" i="61"/>
  <c r="AK43" i="61"/>
  <c r="AK78" i="61"/>
  <c r="AK69" i="61"/>
  <c r="AK42" i="61"/>
  <c r="AK105" i="61"/>
  <c r="AK68" i="61"/>
  <c r="AK51" i="61"/>
  <c r="AK50" i="61"/>
  <c r="AK79" i="61"/>
  <c r="AK98" i="61"/>
  <c r="AK106" i="61"/>
  <c r="AK44" i="61"/>
  <c r="AK70" i="61"/>
  <c r="AK52" i="61"/>
  <c r="AK80" i="61"/>
  <c r="AK62" i="61"/>
  <c r="AK88" i="61"/>
  <c r="AJ124" i="61"/>
  <c r="AI32" i="50"/>
  <c r="AJ29" i="50"/>
  <c r="AE27" i="50"/>
  <c r="AE28" i="50" s="1"/>
  <c r="AB33" i="63"/>
  <c r="AB36" i="63" s="1"/>
  <c r="AB23" i="63"/>
  <c r="AC20" i="63"/>
  <c r="AC20" i="64"/>
  <c r="AC20" i="65"/>
  <c r="AC20" i="22"/>
  <c r="AE30" i="50"/>
  <c r="AB33" i="22"/>
  <c r="AB36" i="22" s="1"/>
  <c r="AB47" i="22" s="1"/>
  <c r="AB23" i="22"/>
  <c r="AD31" i="50"/>
  <c r="AD34" i="50" s="1"/>
  <c r="AD33" i="50"/>
  <c r="AG21" i="65"/>
  <c r="AG21" i="22"/>
  <c r="AG21" i="63"/>
  <c r="AG21" i="64"/>
  <c r="AA49" i="22"/>
  <c r="AB33" i="64"/>
  <c r="AB36" i="64" s="1"/>
  <c r="AB23" i="64"/>
  <c r="AB33" i="65"/>
  <c r="AB36" i="65" s="1"/>
  <c r="AB23" i="65"/>
  <c r="AH99" i="61"/>
  <c r="AH81" i="61"/>
  <c r="AH89" i="61"/>
  <c r="AH125" i="61" s="1"/>
  <c r="AH107" i="61"/>
  <c r="AH143" i="61" s="1"/>
  <c r="AI72" i="61"/>
  <c r="AR46" i="22"/>
  <c r="AR48" i="22" s="1"/>
  <c r="AQ48" i="22"/>
  <c r="AH22" i="22"/>
  <c r="AH35" i="22" s="1"/>
  <c r="AH22" i="64"/>
  <c r="AH35" i="64" s="1"/>
  <c r="AH22" i="65"/>
  <c r="AH35" i="65" s="1"/>
  <c r="H51" i="65"/>
  <c r="H50" i="65"/>
  <c r="AH21" i="64"/>
  <c r="AH34" i="64" s="1"/>
  <c r="AH21" i="65"/>
  <c r="AH34" i="65" s="1"/>
  <c r="AH21" i="22"/>
  <c r="AH34" i="22" s="1"/>
  <c r="AH21" i="63"/>
  <c r="AH34" i="63" s="1"/>
  <c r="AJ63" i="61"/>
  <c r="AJ45" i="61"/>
  <c r="AL35" i="61"/>
  <c r="AI54" i="61"/>
  <c r="AJ53" i="61"/>
  <c r="AL36" i="61"/>
  <c r="AJ71" i="61"/>
  <c r="AI46" i="61"/>
  <c r="AK141" i="61" l="1"/>
  <c r="AK133" i="61"/>
  <c r="AK134" i="61"/>
  <c r="AK123" i="61"/>
  <c r="AL38" i="50"/>
  <c r="AK115" i="61"/>
  <c r="AK122" i="61"/>
  <c r="AK29" i="50" s="1"/>
  <c r="AL88" i="61"/>
  <c r="AL98" i="61"/>
  <c r="AL62" i="61"/>
  <c r="AL106" i="61"/>
  <c r="AL44" i="61"/>
  <c r="AL70" i="61"/>
  <c r="AL52" i="61"/>
  <c r="AL80" i="61"/>
  <c r="AK44" i="50"/>
  <c r="AK132" i="61"/>
  <c r="AL104" i="61"/>
  <c r="AL78" i="61"/>
  <c r="AL87" i="61"/>
  <c r="AL86" i="61"/>
  <c r="AL97" i="61"/>
  <c r="AL61" i="61"/>
  <c r="AL60" i="61"/>
  <c r="AL43" i="61"/>
  <c r="AL68" i="61"/>
  <c r="AL96" i="61"/>
  <c r="AL69" i="61"/>
  <c r="AL42" i="61"/>
  <c r="AL79" i="61"/>
  <c r="AL51" i="61"/>
  <c r="AL50" i="61"/>
  <c r="AL122" i="61" s="1"/>
  <c r="AL29" i="50" s="1"/>
  <c r="AL105" i="61"/>
  <c r="AK124" i="61"/>
  <c r="AK140" i="61"/>
  <c r="AH82" i="61"/>
  <c r="AH118" i="61" s="1"/>
  <c r="AI39" i="50"/>
  <c r="AI40" i="50" s="1"/>
  <c r="AI21" i="64" s="1"/>
  <c r="AI34" i="64" s="1"/>
  <c r="AH117" i="61"/>
  <c r="AK142" i="61"/>
  <c r="AJ64" i="61"/>
  <c r="AJ45" i="50"/>
  <c r="AJ46" i="50" s="1"/>
  <c r="AH100" i="61"/>
  <c r="AH136" i="61" s="1"/>
  <c r="AH135" i="61"/>
  <c r="AK116" i="61"/>
  <c r="AK114" i="61"/>
  <c r="AK26" i="50" s="1"/>
  <c r="AJ32" i="50"/>
  <c r="AF27" i="50"/>
  <c r="AF28" i="50" s="1"/>
  <c r="AG23" i="64"/>
  <c r="AG34" i="64"/>
  <c r="AG36" i="64" s="1"/>
  <c r="AE31" i="50"/>
  <c r="AE34" i="50" s="1"/>
  <c r="AE33" i="50"/>
  <c r="AC33" i="64"/>
  <c r="AC36" i="64" s="1"/>
  <c r="AC23" i="64"/>
  <c r="AF30" i="50"/>
  <c r="AG23" i="63"/>
  <c r="AG34" i="63"/>
  <c r="AG36" i="63" s="1"/>
  <c r="AD20" i="22"/>
  <c r="AD20" i="65"/>
  <c r="AD20" i="63"/>
  <c r="AD20" i="64"/>
  <c r="AC33" i="63"/>
  <c r="AC36" i="63" s="1"/>
  <c r="AC23" i="63"/>
  <c r="AG23" i="22"/>
  <c r="AG34" i="22"/>
  <c r="AG36" i="22" s="1"/>
  <c r="AC33" i="22"/>
  <c r="AC36" i="22" s="1"/>
  <c r="AC47" i="22" s="1"/>
  <c r="AC23" i="22"/>
  <c r="AH90" i="61"/>
  <c r="AH126" i="61" s="1"/>
  <c r="AB49" i="22"/>
  <c r="AG23" i="65"/>
  <c r="AG34" i="65"/>
  <c r="AG36" i="65" s="1"/>
  <c r="AC33" i="65"/>
  <c r="AC36" i="65" s="1"/>
  <c r="AC23" i="65"/>
  <c r="AJ72" i="61"/>
  <c r="AI81" i="61"/>
  <c r="AI89" i="61"/>
  <c r="AI125" i="61" s="1"/>
  <c r="AI107" i="61"/>
  <c r="AI143" i="61" s="1"/>
  <c r="AI99" i="61"/>
  <c r="AH108" i="61"/>
  <c r="AH144" i="61" s="1"/>
  <c r="AI22" i="64"/>
  <c r="AI35" i="64" s="1"/>
  <c r="AI22" i="65"/>
  <c r="AI35" i="65" s="1"/>
  <c r="AI22" i="22"/>
  <c r="AI35" i="22" s="1"/>
  <c r="AI22" i="63"/>
  <c r="AI35" i="63" s="1"/>
  <c r="AK71" i="61"/>
  <c r="AJ46" i="61"/>
  <c r="AJ54" i="61"/>
  <c r="AM35" i="61"/>
  <c r="AK63" i="61"/>
  <c r="AM36" i="61"/>
  <c r="AK45" i="61"/>
  <c r="AK53" i="61"/>
  <c r="AL123" i="61" l="1"/>
  <c r="AL114" i="61"/>
  <c r="AL142" i="61"/>
  <c r="AL133" i="61"/>
  <c r="AL140" i="61"/>
  <c r="AK32" i="50"/>
  <c r="AL124" i="61"/>
  <c r="AL115" i="61"/>
  <c r="AL44" i="50"/>
  <c r="AL132" i="61"/>
  <c r="AK45" i="50"/>
  <c r="AK46" i="50" s="1"/>
  <c r="AL141" i="61"/>
  <c r="AL116" i="61"/>
  <c r="AI100" i="61"/>
  <c r="AI136" i="61" s="1"/>
  <c r="AI135" i="61"/>
  <c r="AM38" i="50"/>
  <c r="AM88" i="61"/>
  <c r="AM98" i="61"/>
  <c r="AM62" i="61"/>
  <c r="AM106" i="61"/>
  <c r="AM44" i="61"/>
  <c r="AM70" i="61"/>
  <c r="AM52" i="61"/>
  <c r="AM80" i="61"/>
  <c r="AM105" i="61"/>
  <c r="AM79" i="61"/>
  <c r="AM104" i="61"/>
  <c r="AM78" i="61"/>
  <c r="AM87" i="61"/>
  <c r="AM86" i="61"/>
  <c r="AM97" i="61"/>
  <c r="AM50" i="61"/>
  <c r="AM61" i="61"/>
  <c r="AM60" i="61"/>
  <c r="AM96" i="61"/>
  <c r="AM43" i="61"/>
  <c r="AM69" i="61"/>
  <c r="AM68" i="61"/>
  <c r="AM42" i="61"/>
  <c r="AM51" i="61"/>
  <c r="AI82" i="61"/>
  <c r="AI118" i="61" s="1"/>
  <c r="AJ39" i="50"/>
  <c r="AJ40" i="50" s="1"/>
  <c r="AJ21" i="64" s="1"/>
  <c r="AJ34" i="64" s="1"/>
  <c r="AI117" i="61"/>
  <c r="AL134" i="61"/>
  <c r="AI21" i="22"/>
  <c r="AI34" i="22" s="1"/>
  <c r="AI21" i="65"/>
  <c r="AI34" i="65" s="1"/>
  <c r="AI21" i="63"/>
  <c r="AI34" i="63" s="1"/>
  <c r="AL26" i="50"/>
  <c r="AL32" i="50" s="1"/>
  <c r="AC49" i="22"/>
  <c r="AI90" i="61"/>
  <c r="AI126" i="61" s="1"/>
  <c r="AF31" i="50"/>
  <c r="AF34" i="50" s="1"/>
  <c r="AF33" i="50"/>
  <c r="AD33" i="22"/>
  <c r="AD36" i="22" s="1"/>
  <c r="AD47" i="22" s="1"/>
  <c r="AD23" i="22"/>
  <c r="AE20" i="65"/>
  <c r="AE20" i="63"/>
  <c r="AE20" i="64"/>
  <c r="AE20" i="22"/>
  <c r="AD33" i="65"/>
  <c r="AD36" i="65" s="1"/>
  <c r="AD23" i="65"/>
  <c r="AD23" i="64"/>
  <c r="AD33" i="64"/>
  <c r="AD36" i="64" s="1"/>
  <c r="AD33" i="63"/>
  <c r="AD36" i="63" s="1"/>
  <c r="AD23" i="63"/>
  <c r="AI108" i="61"/>
  <c r="AI144" i="61" s="1"/>
  <c r="AK72" i="61"/>
  <c r="AJ107" i="61"/>
  <c r="AJ143" i="61" s="1"/>
  <c r="AJ99" i="61"/>
  <c r="AJ81" i="61"/>
  <c r="AJ89" i="61"/>
  <c r="AJ125" i="61" s="1"/>
  <c r="AJ22" i="64"/>
  <c r="AJ35" i="64" s="1"/>
  <c r="AJ22" i="65"/>
  <c r="AJ35" i="65" s="1"/>
  <c r="AL63" i="61"/>
  <c r="AJ22" i="22"/>
  <c r="AJ35" i="22" s="1"/>
  <c r="AJ22" i="63"/>
  <c r="AJ35" i="63" s="1"/>
  <c r="AL71" i="61"/>
  <c r="AN36" i="61"/>
  <c r="AK64" i="61"/>
  <c r="AN35" i="61"/>
  <c r="AK54" i="61"/>
  <c r="AK46" i="61"/>
  <c r="AL45" i="61"/>
  <c r="AL53" i="61"/>
  <c r="AM140" i="61" l="1"/>
  <c r="AM114" i="61"/>
  <c r="AM142" i="61"/>
  <c r="AM133" i="61"/>
  <c r="AM123" i="61"/>
  <c r="AM122" i="61"/>
  <c r="AM29" i="50" s="1"/>
  <c r="AM124" i="61"/>
  <c r="AJ82" i="61"/>
  <c r="AJ118" i="61" s="1"/>
  <c r="AK39" i="50"/>
  <c r="AK40" i="50" s="1"/>
  <c r="AK21" i="64" s="1"/>
  <c r="AK34" i="64" s="1"/>
  <c r="AJ117" i="61"/>
  <c r="AM141" i="61"/>
  <c r="AM116" i="61"/>
  <c r="AN106" i="61"/>
  <c r="AN88" i="61"/>
  <c r="AN80" i="61"/>
  <c r="AN62" i="61"/>
  <c r="AN98" i="61"/>
  <c r="AN44" i="61"/>
  <c r="AN52" i="61"/>
  <c r="AN70" i="61"/>
  <c r="AJ100" i="61"/>
  <c r="AJ136" i="61" s="1"/>
  <c r="AJ135" i="61"/>
  <c r="AM115" i="61"/>
  <c r="AN38" i="50"/>
  <c r="AN105" i="61"/>
  <c r="AN79" i="61"/>
  <c r="AN104" i="61"/>
  <c r="AN78" i="61"/>
  <c r="AN87" i="61"/>
  <c r="AN86" i="61"/>
  <c r="AN51" i="61"/>
  <c r="AN97" i="61"/>
  <c r="AN50" i="61"/>
  <c r="AN61" i="61"/>
  <c r="AN60" i="61"/>
  <c r="AN43" i="61"/>
  <c r="AN96" i="61"/>
  <c r="AN42" i="61"/>
  <c r="AN69" i="61"/>
  <c r="AN141" i="61" s="1"/>
  <c r="AN68" i="61"/>
  <c r="AL45" i="50"/>
  <c r="AL46" i="50" s="1"/>
  <c r="AL22" i="63" s="1"/>
  <c r="AL35" i="63" s="1"/>
  <c r="AM134" i="61"/>
  <c r="AM44" i="50"/>
  <c r="AM132" i="61"/>
  <c r="AJ21" i="63"/>
  <c r="AJ34" i="63" s="1"/>
  <c r="AJ21" i="22"/>
  <c r="AJ34" i="22" s="1"/>
  <c r="AH27" i="50"/>
  <c r="AH28" i="50" s="1"/>
  <c r="AJ21" i="65"/>
  <c r="AJ34" i="65" s="1"/>
  <c r="AM26" i="50"/>
  <c r="AD49" i="22"/>
  <c r="AE33" i="22"/>
  <c r="AE36" i="22" s="1"/>
  <c r="AE47" i="22" s="1"/>
  <c r="AE23" i="22"/>
  <c r="AE33" i="64"/>
  <c r="AE36" i="64" s="1"/>
  <c r="AE23" i="64"/>
  <c r="AJ90" i="61"/>
  <c r="AJ126" i="61" s="1"/>
  <c r="AE23" i="63"/>
  <c r="AE33" i="63"/>
  <c r="AE36" i="63" s="1"/>
  <c r="AH30" i="50"/>
  <c r="AE23" i="65"/>
  <c r="AE33" i="65"/>
  <c r="AE36" i="65" s="1"/>
  <c r="AF20" i="22"/>
  <c r="AF20" i="65"/>
  <c r="AF20" i="64"/>
  <c r="AF20" i="63"/>
  <c r="AJ108" i="61"/>
  <c r="AJ144" i="61" s="1"/>
  <c r="AK107" i="61"/>
  <c r="AK143" i="61" s="1"/>
  <c r="AK99" i="61"/>
  <c r="AK89" i="61"/>
  <c r="AK125" i="61" s="1"/>
  <c r="AK81" i="61"/>
  <c r="AL72" i="61"/>
  <c r="AL64" i="61"/>
  <c r="AK22" i="64"/>
  <c r="AK35" i="64" s="1"/>
  <c r="AK22" i="65"/>
  <c r="AK35" i="65" s="1"/>
  <c r="AM53" i="61"/>
  <c r="AM45" i="61"/>
  <c r="AK22" i="22"/>
  <c r="AK35" i="22" s="1"/>
  <c r="AK22" i="63"/>
  <c r="AK35" i="63" s="1"/>
  <c r="AM63" i="61"/>
  <c r="AL46" i="61"/>
  <c r="AM71" i="61"/>
  <c r="AO36" i="61"/>
  <c r="AO35" i="61"/>
  <c r="AL54" i="61"/>
  <c r="AN114" i="61" l="1"/>
  <c r="AN123" i="61"/>
  <c r="AN122" i="61"/>
  <c r="AN29" i="50" s="1"/>
  <c r="AN124" i="61"/>
  <c r="AN133" i="61"/>
  <c r="AN116" i="61"/>
  <c r="AO96" i="61"/>
  <c r="AO105" i="61"/>
  <c r="AO79" i="61"/>
  <c r="AO104" i="61"/>
  <c r="AO78" i="61"/>
  <c r="AO87" i="61"/>
  <c r="AO86" i="61"/>
  <c r="AO68" i="61"/>
  <c r="AO51" i="61"/>
  <c r="AO97" i="61"/>
  <c r="AO50" i="61"/>
  <c r="AO61" i="61"/>
  <c r="AO60" i="61"/>
  <c r="AO42" i="61"/>
  <c r="AO43" i="61"/>
  <c r="AO69" i="61"/>
  <c r="AN142" i="61"/>
  <c r="AN132" i="61"/>
  <c r="AN44" i="50"/>
  <c r="AN140" i="61"/>
  <c r="AM32" i="50"/>
  <c r="AN134" i="61"/>
  <c r="AK100" i="61"/>
  <c r="AK136" i="61" s="1"/>
  <c r="AK135" i="61"/>
  <c r="AO106" i="61"/>
  <c r="AO88" i="61"/>
  <c r="AO52" i="61"/>
  <c r="AO98" i="61"/>
  <c r="AO80" i="61"/>
  <c r="AO62" i="61"/>
  <c r="AO44" i="61"/>
  <c r="AO70" i="61"/>
  <c r="AK82" i="61"/>
  <c r="AK118" i="61" s="1"/>
  <c r="AL39" i="50"/>
  <c r="AL40" i="50" s="1"/>
  <c r="AL21" i="22" s="1"/>
  <c r="AL34" i="22" s="1"/>
  <c r="AK117" i="61"/>
  <c r="AM64" i="61"/>
  <c r="AM45" i="50"/>
  <c r="AM46" i="50" s="1"/>
  <c r="AN115" i="61"/>
  <c r="AO38" i="50"/>
  <c r="AK21" i="22"/>
  <c r="AK34" i="22" s="1"/>
  <c r="AK21" i="63"/>
  <c r="AK34" i="63" s="1"/>
  <c r="AM46" i="61"/>
  <c r="AN26" i="50"/>
  <c r="AI27" i="50"/>
  <c r="AI28" i="50" s="1"/>
  <c r="AK21" i="65"/>
  <c r="AK34" i="65" s="1"/>
  <c r="AE49" i="22"/>
  <c r="AF23" i="63"/>
  <c r="AF33" i="63"/>
  <c r="AF36" i="63" s="1"/>
  <c r="AK90" i="61"/>
  <c r="AK126" i="61" s="1"/>
  <c r="AI30" i="50"/>
  <c r="AF33" i="64"/>
  <c r="AF36" i="64" s="1"/>
  <c r="AF23" i="64"/>
  <c r="AF33" i="22"/>
  <c r="AF36" i="22" s="1"/>
  <c r="AF47" i="22" s="1"/>
  <c r="AF23" i="22"/>
  <c r="AF33" i="65"/>
  <c r="AF36" i="65" s="1"/>
  <c r="AF23" i="65"/>
  <c r="AH31" i="50"/>
  <c r="AH34" i="50" s="1"/>
  <c r="AH33" i="50"/>
  <c r="AK108" i="61"/>
  <c r="AK144" i="61" s="1"/>
  <c r="AL99" i="61"/>
  <c r="AL89" i="61"/>
  <c r="AL125" i="61" s="1"/>
  <c r="AL81" i="61"/>
  <c r="AL107" i="61"/>
  <c r="AL143" i="61" s="1"/>
  <c r="AL22" i="22"/>
  <c r="AL35" i="22" s="1"/>
  <c r="AN53" i="61"/>
  <c r="AL22" i="64"/>
  <c r="AL35" i="64" s="1"/>
  <c r="AL22" i="65"/>
  <c r="AL35" i="65" s="1"/>
  <c r="AN63" i="61"/>
  <c r="AM54" i="61"/>
  <c r="AN45" i="61"/>
  <c r="AM72" i="61"/>
  <c r="AP36" i="61"/>
  <c r="AP35" i="61"/>
  <c r="AN71" i="61"/>
  <c r="AN32" i="50" l="1"/>
  <c r="AO114" i="61"/>
  <c r="AO115" i="61"/>
  <c r="AO133" i="61"/>
  <c r="AO141" i="61"/>
  <c r="AO140" i="61"/>
  <c r="AL82" i="61"/>
  <c r="AL118" i="61" s="1"/>
  <c r="AM39" i="50"/>
  <c r="AM40" i="50" s="1"/>
  <c r="AM21" i="63" s="1"/>
  <c r="AM34" i="63" s="1"/>
  <c r="AL117" i="61"/>
  <c r="AO124" i="61"/>
  <c r="AN64" i="61"/>
  <c r="AN45" i="50"/>
  <c r="AN46" i="50" s="1"/>
  <c r="AN22" i="22" s="1"/>
  <c r="AN35" i="22" s="1"/>
  <c r="AO132" i="61"/>
  <c r="AO44" i="50"/>
  <c r="AP38" i="50"/>
  <c r="AO142" i="61"/>
  <c r="AO122" i="61"/>
  <c r="AO29" i="50" s="1"/>
  <c r="AP97" i="61"/>
  <c r="AP96" i="61"/>
  <c r="AP105" i="61"/>
  <c r="AP79" i="61"/>
  <c r="AP104" i="61"/>
  <c r="AP78" i="61"/>
  <c r="AP69" i="61"/>
  <c r="AP141" i="61" s="1"/>
  <c r="AP42" i="61"/>
  <c r="AP86" i="61"/>
  <c r="AP68" i="61"/>
  <c r="AP51" i="61"/>
  <c r="AP50" i="61"/>
  <c r="AP87" i="61"/>
  <c r="AP43" i="61"/>
  <c r="AP60" i="61"/>
  <c r="AP61" i="61"/>
  <c r="AN54" i="61"/>
  <c r="AO116" i="61"/>
  <c r="AL100" i="61"/>
  <c r="AL136" i="61" s="1"/>
  <c r="AL135" i="61"/>
  <c r="AP106" i="61"/>
  <c r="AP88" i="61"/>
  <c r="AP52" i="61"/>
  <c r="AP80" i="61"/>
  <c r="AP62" i="61"/>
  <c r="AP98" i="61"/>
  <c r="AP70" i="61"/>
  <c r="AP44" i="61"/>
  <c r="AO134" i="61"/>
  <c r="AO123" i="61"/>
  <c r="AL21" i="65"/>
  <c r="AL34" i="65" s="1"/>
  <c r="AL21" i="64"/>
  <c r="AL34" i="64" s="1"/>
  <c r="AO26" i="50"/>
  <c r="AL21" i="63"/>
  <c r="AL34" i="63" s="1"/>
  <c r="AJ27" i="50"/>
  <c r="AJ28" i="50" s="1"/>
  <c r="AJ30" i="50"/>
  <c r="AG47" i="22"/>
  <c r="AF49" i="22"/>
  <c r="AL90" i="61"/>
  <c r="AL126" i="61" s="1"/>
  <c r="AH20" i="22"/>
  <c r="AH20" i="64"/>
  <c r="AH20" i="63"/>
  <c r="AH20" i="65"/>
  <c r="AI31" i="50"/>
  <c r="AI34" i="50" s="1"/>
  <c r="AI33" i="50"/>
  <c r="AM81" i="61"/>
  <c r="AM89" i="61"/>
  <c r="AM125" i="61" s="1"/>
  <c r="AM107" i="61"/>
  <c r="AM143" i="61" s="1"/>
  <c r="AM99" i="61"/>
  <c r="AL108" i="61"/>
  <c r="AL144" i="61" s="1"/>
  <c r="AN72" i="61"/>
  <c r="AO45" i="61"/>
  <c r="AM22" i="64"/>
  <c r="AM35" i="64" s="1"/>
  <c r="AM22" i="65"/>
  <c r="AM35" i="65" s="1"/>
  <c r="AO71" i="61"/>
  <c r="AN46" i="61"/>
  <c r="AM22" i="22"/>
  <c r="AM35" i="22" s="1"/>
  <c r="AM22" i="63"/>
  <c r="AM35" i="63" s="1"/>
  <c r="AO63" i="61"/>
  <c r="AO53" i="61"/>
  <c r="AP115" i="61" l="1"/>
  <c r="AP133" i="61"/>
  <c r="AP140" i="61"/>
  <c r="AP114" i="61"/>
  <c r="AP26" i="50" s="1"/>
  <c r="AP124" i="61"/>
  <c r="AP134" i="61"/>
  <c r="AP116" i="61"/>
  <c r="AP142" i="61"/>
  <c r="AP132" i="61"/>
  <c r="AP44" i="50"/>
  <c r="AQ38" i="50"/>
  <c r="AM82" i="61"/>
  <c r="AM118" i="61" s="1"/>
  <c r="AN39" i="50"/>
  <c r="AN40" i="50" s="1"/>
  <c r="AN21" i="63" s="1"/>
  <c r="AN34" i="63" s="1"/>
  <c r="AM117" i="61"/>
  <c r="AP122" i="61"/>
  <c r="AP29" i="50" s="1"/>
  <c r="AM100" i="61"/>
  <c r="AM136" i="61" s="1"/>
  <c r="AM135" i="61"/>
  <c r="AO45" i="50"/>
  <c r="AO46" i="50" s="1"/>
  <c r="AP123" i="61"/>
  <c r="AO32" i="50"/>
  <c r="H43" i="61"/>
  <c r="AO46" i="61"/>
  <c r="AK27" i="50"/>
  <c r="AK28" i="50" s="1"/>
  <c r="H42" i="61"/>
  <c r="H44" i="61"/>
  <c r="AM21" i="22"/>
  <c r="AM34" i="22" s="1"/>
  <c r="H52" i="61"/>
  <c r="AM21" i="65"/>
  <c r="AM34" i="65" s="1"/>
  <c r="AH23" i="63"/>
  <c r="AH33" i="63"/>
  <c r="AH36" i="63" s="1"/>
  <c r="AG49" i="22"/>
  <c r="AH23" i="65"/>
  <c r="AH33" i="65"/>
  <c r="AH36" i="65" s="1"/>
  <c r="AM21" i="64"/>
  <c r="AM34" i="64" s="1"/>
  <c r="AH33" i="64"/>
  <c r="AH36" i="64" s="1"/>
  <c r="AH23" i="64"/>
  <c r="AJ31" i="50"/>
  <c r="AJ34" i="50" s="1"/>
  <c r="AJ33" i="50"/>
  <c r="AK30" i="50"/>
  <c r="AM90" i="61"/>
  <c r="AM126" i="61" s="1"/>
  <c r="AI20" i="65"/>
  <c r="AI20" i="22"/>
  <c r="AI20" i="63"/>
  <c r="AI20" i="64"/>
  <c r="AH33" i="22"/>
  <c r="AH36" i="22" s="1"/>
  <c r="AH47" i="22" s="1"/>
  <c r="AH23" i="22"/>
  <c r="AM108" i="61"/>
  <c r="AM144" i="61" s="1"/>
  <c r="AO72" i="61"/>
  <c r="AN89" i="61"/>
  <c r="AN125" i="61" s="1"/>
  <c r="AN81" i="61"/>
  <c r="AN107" i="61"/>
  <c r="AN143" i="61" s="1"/>
  <c r="AN99" i="61"/>
  <c r="AP53" i="61"/>
  <c r="H51" i="61"/>
  <c r="H50" i="61"/>
  <c r="AN22" i="63"/>
  <c r="AN35" i="63" s="1"/>
  <c r="AN22" i="64"/>
  <c r="AN35" i="64" s="1"/>
  <c r="AN22" i="65"/>
  <c r="AN35" i="65" s="1"/>
  <c r="AP63" i="61"/>
  <c r="AP45" i="61"/>
  <c r="AO64" i="61"/>
  <c r="AP71" i="61"/>
  <c r="AO54" i="61"/>
  <c r="AN100" i="61" l="1"/>
  <c r="AN136" i="61" s="1"/>
  <c r="AN135" i="61"/>
  <c r="AP64" i="61"/>
  <c r="AP45" i="50"/>
  <c r="AP46" i="50" s="1"/>
  <c r="AN82" i="61"/>
  <c r="AN118" i="61" s="1"/>
  <c r="AO39" i="50"/>
  <c r="AO40" i="50" s="1"/>
  <c r="AO21" i="65" s="1"/>
  <c r="AO34" i="65" s="1"/>
  <c r="AN117" i="61"/>
  <c r="AP54" i="61"/>
  <c r="I44" i="61"/>
  <c r="I43" i="61"/>
  <c r="AQ22" i="64"/>
  <c r="AQ35" i="64" s="1"/>
  <c r="I52" i="61"/>
  <c r="AN21" i="65"/>
  <c r="AN34" i="65" s="1"/>
  <c r="AL27" i="50"/>
  <c r="AL28" i="50" s="1"/>
  <c r="AN21" i="64"/>
  <c r="AN34" i="64" s="1"/>
  <c r="AN21" i="22"/>
  <c r="AN34" i="22" s="1"/>
  <c r="AH49" i="22"/>
  <c r="AI33" i="63"/>
  <c r="AI36" i="63" s="1"/>
  <c r="AI23" i="63"/>
  <c r="AJ20" i="64"/>
  <c r="AJ20" i="65"/>
  <c r="AJ20" i="22"/>
  <c r="AJ20" i="63"/>
  <c r="AL30" i="50"/>
  <c r="AI23" i="22"/>
  <c r="AI33" i="22"/>
  <c r="AI36" i="22" s="1"/>
  <c r="AI47" i="22" s="1"/>
  <c r="AK31" i="50"/>
  <c r="AK34" i="50" s="1"/>
  <c r="AK33" i="50"/>
  <c r="AI33" i="65"/>
  <c r="AI36" i="65" s="1"/>
  <c r="AI23" i="65"/>
  <c r="AN90" i="61"/>
  <c r="AN126" i="61" s="1"/>
  <c r="AI33" i="64"/>
  <c r="AI36" i="64" s="1"/>
  <c r="AI23" i="64"/>
  <c r="AP32" i="50"/>
  <c r="AN108" i="61"/>
  <c r="AN144" i="61" s="1"/>
  <c r="AP72" i="61"/>
  <c r="H78" i="61"/>
  <c r="H86" i="61"/>
  <c r="AO107" i="61"/>
  <c r="AO143" i="61" s="1"/>
  <c r="AO99" i="61"/>
  <c r="AO81" i="61"/>
  <c r="AO89" i="61"/>
  <c r="AO125" i="61" s="1"/>
  <c r="I51" i="61"/>
  <c r="H45" i="61"/>
  <c r="I45" i="61" s="1"/>
  <c r="AO22" i="64"/>
  <c r="AO35" i="64" s="1"/>
  <c r="AO22" i="65"/>
  <c r="AO35" i="65" s="1"/>
  <c r="AP46" i="61"/>
  <c r="AO22" i="22"/>
  <c r="AO35" i="22" s="1"/>
  <c r="AO22" i="63"/>
  <c r="AO35" i="63" s="1"/>
  <c r="H46" i="61" l="1"/>
  <c r="AO82" i="61"/>
  <c r="AO118" i="61" s="1"/>
  <c r="AP39" i="50"/>
  <c r="AP40" i="50" s="1"/>
  <c r="AO117" i="61"/>
  <c r="AO100" i="61"/>
  <c r="AO136" i="61" s="1"/>
  <c r="AO135" i="61"/>
  <c r="AO21" i="64"/>
  <c r="AO34" i="64" s="1"/>
  <c r="AO21" i="22"/>
  <c r="AO34" i="22" s="1"/>
  <c r="AO21" i="63"/>
  <c r="AO34" i="63" s="1"/>
  <c r="AQ22" i="63"/>
  <c r="AQ35" i="63" s="1"/>
  <c r="AQ22" i="22"/>
  <c r="AQ35" i="22" s="1"/>
  <c r="AQ22" i="65"/>
  <c r="AQ35" i="65" s="1"/>
  <c r="AM27" i="50"/>
  <c r="AM28" i="50" s="1"/>
  <c r="AI49" i="22"/>
  <c r="AM30" i="50"/>
  <c r="AJ33" i="63"/>
  <c r="AJ36" i="63" s="1"/>
  <c r="AJ23" i="63"/>
  <c r="AJ23" i="22"/>
  <c r="AJ33" i="22"/>
  <c r="AJ36" i="22" s="1"/>
  <c r="AJ47" i="22" s="1"/>
  <c r="AL31" i="50"/>
  <c r="AL34" i="50" s="1"/>
  <c r="AL33" i="50"/>
  <c r="AJ33" i="65"/>
  <c r="AJ36" i="65" s="1"/>
  <c r="AJ23" i="65"/>
  <c r="AO90" i="61"/>
  <c r="AO126" i="61" s="1"/>
  <c r="AK20" i="63"/>
  <c r="AK20" i="65"/>
  <c r="AK20" i="64"/>
  <c r="AK20" i="22"/>
  <c r="AJ33" i="64"/>
  <c r="AJ36" i="64" s="1"/>
  <c r="AJ23" i="64"/>
  <c r="AO108" i="61"/>
  <c r="AO144" i="61" s="1"/>
  <c r="H79" i="61"/>
  <c r="I79" i="61" s="1"/>
  <c r="H87" i="61"/>
  <c r="I87" i="61" s="1"/>
  <c r="AP107" i="61"/>
  <c r="AP143" i="61" s="1"/>
  <c r="AP99" i="61"/>
  <c r="H88" i="61"/>
  <c r="I88" i="61" s="1"/>
  <c r="H80" i="61"/>
  <c r="I80" i="61" s="1"/>
  <c r="AP22" i="64"/>
  <c r="AP35" i="64" s="1"/>
  <c r="H35" i="64" s="1"/>
  <c r="AP22" i="65"/>
  <c r="AP22" i="22"/>
  <c r="AP35" i="22" s="1"/>
  <c r="H35" i="22" s="1"/>
  <c r="AP22" i="63"/>
  <c r="AP21" i="65" l="1"/>
  <c r="AP21" i="63"/>
  <c r="AP100" i="61"/>
  <c r="AP136" i="61" s="1"/>
  <c r="AP135" i="61"/>
  <c r="AP21" i="22"/>
  <c r="AP34" i="22" s="1"/>
  <c r="AP21" i="64"/>
  <c r="AP34" i="64" s="1"/>
  <c r="AN27" i="50"/>
  <c r="AN28" i="50" s="1"/>
  <c r="AJ49" i="22"/>
  <c r="AK23" i="65"/>
  <c r="AK33" i="65"/>
  <c r="AK36" i="65" s="1"/>
  <c r="AK33" i="63"/>
  <c r="AK36" i="63" s="1"/>
  <c r="AK23" i="63"/>
  <c r="AM31" i="50"/>
  <c r="AM34" i="50" s="1"/>
  <c r="AM33" i="50"/>
  <c r="AK33" i="22"/>
  <c r="AK36" i="22" s="1"/>
  <c r="AK47" i="22" s="1"/>
  <c r="AK23" i="22"/>
  <c r="AN30" i="50"/>
  <c r="AK23" i="64"/>
  <c r="AK33" i="64"/>
  <c r="AK36" i="64" s="1"/>
  <c r="AL20" i="64"/>
  <c r="AL20" i="22"/>
  <c r="AL20" i="65"/>
  <c r="AL20" i="63"/>
  <c r="AP108" i="61"/>
  <c r="AP144" i="61" s="1"/>
  <c r="H114" i="61"/>
  <c r="H122" i="61"/>
  <c r="AP81" i="61"/>
  <c r="AP89" i="61"/>
  <c r="AP125" i="61" s="1"/>
  <c r="H22" i="64"/>
  <c r="AP35" i="65"/>
  <c r="H35" i="65" s="1"/>
  <c r="H22" i="65"/>
  <c r="AP34" i="65"/>
  <c r="H22" i="22"/>
  <c r="AP35" i="63"/>
  <c r="H35" i="63" s="1"/>
  <c r="H22" i="63"/>
  <c r="AP34" i="63"/>
  <c r="AQ39" i="50" l="1"/>
  <c r="AP117" i="61"/>
  <c r="AO27" i="50"/>
  <c r="AO28" i="50" s="1"/>
  <c r="AK49" i="22"/>
  <c r="AL23" i="64"/>
  <c r="AL33" i="64"/>
  <c r="AP90" i="61"/>
  <c r="AP126" i="61" s="1"/>
  <c r="AQ40" i="50"/>
  <c r="AL33" i="63"/>
  <c r="AL36" i="63" s="1"/>
  <c r="AL23" i="63"/>
  <c r="AM20" i="64"/>
  <c r="AM20" i="22"/>
  <c r="AM20" i="65"/>
  <c r="AM20" i="63"/>
  <c r="AO30" i="50"/>
  <c r="AL33" i="65"/>
  <c r="AL36" i="65" s="1"/>
  <c r="AL23" i="65"/>
  <c r="AN31" i="50"/>
  <c r="AN34" i="50" s="1"/>
  <c r="AN33" i="50"/>
  <c r="AL33" i="22"/>
  <c r="AL36" i="22" s="1"/>
  <c r="AL47" i="22" s="1"/>
  <c r="AL23" i="22"/>
  <c r="AP82" i="61"/>
  <c r="H81" i="61"/>
  <c r="I81" i="61" s="1"/>
  <c r="H123" i="61"/>
  <c r="I123" i="61" s="1"/>
  <c r="H115" i="61"/>
  <c r="I115" i="61" s="1"/>
  <c r="H124" i="61"/>
  <c r="H116" i="61"/>
  <c r="I116" i="61" s="1"/>
  <c r="H82" i="61" l="1"/>
  <c r="AP118" i="61"/>
  <c r="AL49" i="22"/>
  <c r="AO31" i="50"/>
  <c r="AO34" i="50" s="1"/>
  <c r="AO33" i="50"/>
  <c r="AM23" i="22"/>
  <c r="AM33" i="22"/>
  <c r="AQ21" i="22"/>
  <c r="AQ21" i="64"/>
  <c r="AQ21" i="65"/>
  <c r="AQ21" i="63"/>
  <c r="AM33" i="64"/>
  <c r="AM36" i="64" s="1"/>
  <c r="AM23" i="64"/>
  <c r="AN20" i="22"/>
  <c r="AN20" i="65"/>
  <c r="AN20" i="64"/>
  <c r="AN20" i="63"/>
  <c r="AM23" i="65"/>
  <c r="AM33" i="65"/>
  <c r="AM33" i="63"/>
  <c r="AM36" i="63" s="1"/>
  <c r="AM23" i="63"/>
  <c r="AL36" i="64"/>
  <c r="AP27" i="50"/>
  <c r="AP28" i="50" s="1"/>
  <c r="AN33" i="64" l="1"/>
  <c r="AN23" i="64"/>
  <c r="AM36" i="65"/>
  <c r="AN33" i="65"/>
  <c r="AN36" i="65" s="1"/>
  <c r="AN23" i="65"/>
  <c r="AQ23" i="63"/>
  <c r="AQ34" i="63"/>
  <c r="H21" i="63"/>
  <c r="AO20" i="22"/>
  <c r="AO20" i="63"/>
  <c r="AO20" i="65"/>
  <c r="AO20" i="64"/>
  <c r="AQ23" i="22"/>
  <c r="AQ34" i="22"/>
  <c r="H21" i="22"/>
  <c r="AN33" i="22"/>
  <c r="AN36" i="22" s="1"/>
  <c r="AN23" i="22"/>
  <c r="AQ23" i="65"/>
  <c r="AQ34" i="65"/>
  <c r="H21" i="65"/>
  <c r="AM36" i="22"/>
  <c r="AM47" i="22" s="1"/>
  <c r="AP30" i="50"/>
  <c r="AN33" i="63"/>
  <c r="AN23" i="63"/>
  <c r="AQ23" i="64"/>
  <c r="AQ34" i="64"/>
  <c r="H21" i="64"/>
  <c r="H118" i="61"/>
  <c r="H117" i="61"/>
  <c r="I117" i="61" s="1"/>
  <c r="AQ36" i="65" l="1"/>
  <c r="H34" i="65"/>
  <c r="AN36" i="63"/>
  <c r="AO33" i="65"/>
  <c r="AO36" i="65" s="1"/>
  <c r="AO23" i="65"/>
  <c r="AQ36" i="63"/>
  <c r="H34" i="63"/>
  <c r="AO33" i="64"/>
  <c r="AO36" i="64" s="1"/>
  <c r="AO23" i="64"/>
  <c r="AP31" i="50"/>
  <c r="AP34" i="50" s="1"/>
  <c r="AP33" i="50"/>
  <c r="AM49" i="22"/>
  <c r="AN47" i="22"/>
  <c r="AQ36" i="22"/>
  <c r="H34" i="22"/>
  <c r="AO33" i="63"/>
  <c r="AO36" i="63" s="1"/>
  <c r="AO23" i="63"/>
  <c r="AN36" i="64"/>
  <c r="AQ36" i="64"/>
  <c r="H34" i="64"/>
  <c r="AO33" i="22"/>
  <c r="AO23" i="22"/>
  <c r="AN49" i="22" l="1"/>
  <c r="AO36" i="22"/>
  <c r="AO47" i="22" s="1"/>
  <c r="AP20" i="22"/>
  <c r="AP20" i="64"/>
  <c r="AP20" i="65"/>
  <c r="AP20" i="63"/>
  <c r="AP23" i="65" l="1"/>
  <c r="H23" i="65" s="1"/>
  <c r="AP33" i="65"/>
  <c r="H20" i="65"/>
  <c r="AP23" i="22"/>
  <c r="H23" i="22" s="1"/>
  <c r="AP33" i="22"/>
  <c r="H20" i="22"/>
  <c r="AP23" i="63"/>
  <c r="H23" i="63" s="1"/>
  <c r="AP33" i="63"/>
  <c r="H20" i="63"/>
  <c r="AO49" i="22"/>
  <c r="AP33" i="64"/>
  <c r="AP23" i="64"/>
  <c r="H23" i="64" s="1"/>
  <c r="H20" i="64"/>
  <c r="AP36" i="64" l="1"/>
  <c r="H36" i="64" s="1"/>
  <c r="H33" i="64"/>
  <c r="AP36" i="63"/>
  <c r="H36" i="63" s="1"/>
  <c r="H33" i="63"/>
  <c r="AP36" i="65"/>
  <c r="H36" i="65" s="1"/>
  <c r="H33" i="65"/>
  <c r="AP36" i="22"/>
  <c r="H33" i="22"/>
  <c r="H36" i="22" l="1"/>
  <c r="AP47" i="22"/>
  <c r="H39" i="63"/>
  <c r="H38" i="63"/>
  <c r="H48" i="65"/>
  <c r="N41" i="65"/>
  <c r="O41" i="65"/>
  <c r="H39" i="64"/>
  <c r="H38" i="64"/>
  <c r="N57" i="65" l="1"/>
  <c r="H53" i="65"/>
  <c r="N56" i="65"/>
  <c r="O57" i="65"/>
  <c r="H52" i="65"/>
  <c r="O56" i="65"/>
  <c r="I35" i="22"/>
  <c r="N41" i="22"/>
  <c r="N42" i="22" s="1"/>
  <c r="N43" i="22" s="1"/>
  <c r="O41" i="22"/>
  <c r="I34" i="22"/>
  <c r="AP49" i="22"/>
  <c r="AQ47" i="22"/>
  <c r="I33" i="22"/>
  <c r="N59" i="65" l="1"/>
  <c r="N60" i="65"/>
  <c r="O60" i="65"/>
  <c r="O59" i="65"/>
  <c r="AQ49" i="22"/>
  <c r="AR47" i="22"/>
  <c r="AR49" i="22" s="1"/>
  <c r="O61" i="65"/>
  <c r="O58" i="65"/>
  <c r="N58" i="65"/>
  <c r="N61" i="65"/>
</calcChain>
</file>

<file path=xl/sharedStrings.xml><?xml version="1.0" encoding="utf-8"?>
<sst xmlns="http://schemas.openxmlformats.org/spreadsheetml/2006/main" count="2398" uniqueCount="948">
  <si>
    <t>Benefits</t>
  </si>
  <si>
    <t>Source</t>
  </si>
  <si>
    <t>Note</t>
  </si>
  <si>
    <t>Conversion factors (time)</t>
  </si>
  <si>
    <t>Minutes in hour</t>
  </si>
  <si>
    <t>#</t>
  </si>
  <si>
    <t>MinutesinHour</t>
  </si>
  <si>
    <t>Hours in day</t>
  </si>
  <si>
    <t>HoursinDay</t>
  </si>
  <si>
    <t>Months in year</t>
  </si>
  <si>
    <t>MonthsinYear</t>
  </si>
  <si>
    <t>Weeks in year</t>
  </si>
  <si>
    <t>WeeksinYear</t>
  </si>
  <si>
    <t>Years in decade</t>
  </si>
  <si>
    <t>YearsinDecade</t>
  </si>
  <si>
    <t>Conversion factors (value)</t>
  </si>
  <si>
    <t>One hundred million</t>
  </si>
  <si>
    <t>HundredMillion</t>
  </si>
  <si>
    <t>One million</t>
  </si>
  <si>
    <t>Million</t>
  </si>
  <si>
    <t>One thousand</t>
  </si>
  <si>
    <t>Thousand</t>
  </si>
  <si>
    <t>One hundred</t>
  </si>
  <si>
    <t>Hundred</t>
  </si>
  <si>
    <t>Error handling</t>
  </si>
  <si>
    <t>Message if model does not contain errors</t>
  </si>
  <si>
    <t>text</t>
  </si>
  <si>
    <t>Message if model contains errors</t>
  </si>
  <si>
    <t>Discounting assumptions and model period</t>
  </si>
  <si>
    <t>Discount rate</t>
  </si>
  <si>
    <t>Valuation date</t>
  </si>
  <si>
    <t>DiscRate</t>
  </si>
  <si>
    <t>CheckOK</t>
  </si>
  <si>
    <t>CheckError</t>
  </si>
  <si>
    <t>Check OK</t>
  </si>
  <si>
    <t>Check error</t>
  </si>
  <si>
    <t>Model end</t>
  </si>
  <si>
    <t>%</t>
  </si>
  <si>
    <t>dd/mm/yyyy</t>
  </si>
  <si>
    <t>yyyy</t>
  </si>
  <si>
    <t>Period number</t>
  </si>
  <si>
    <t>Timing and DCF inputs</t>
  </si>
  <si>
    <t>Benefit year</t>
  </si>
  <si>
    <t>Undiscounted values</t>
  </si>
  <si>
    <t>Discounted values</t>
  </si>
  <si>
    <t>Undiscounted sum</t>
  </si>
  <si>
    <t>Total undiscounted costs</t>
  </si>
  <si>
    <t>Key index growth factors and exchange rate</t>
  </si>
  <si>
    <t>Impact appraisal period (years)</t>
  </si>
  <si>
    <t>BenefitPeriod</t>
  </si>
  <si>
    <t>Index growth factors</t>
  </si>
  <si>
    <t>&lt; source and notes hidden</t>
  </si>
  <si>
    <t>Date</t>
  </si>
  <si>
    <t>Version</t>
  </si>
  <si>
    <t>Description</t>
  </si>
  <si>
    <t>Original author</t>
  </si>
  <si>
    <t>QA Status</t>
  </si>
  <si>
    <t>Reviewer</t>
  </si>
  <si>
    <t>Review date</t>
  </si>
  <si>
    <t>https://www.infrastructureaustralia.gov.au/sites/default/files/2019-06/infrastructure_australia_assessment_framework_2018.pdf</t>
  </si>
  <si>
    <t>See section D3.7. ATAP guidance states to use discount rate nominated by jurisdiction. Inf Aus states to use discount rate of 7% for central case, with sensitivity testing undertaken at 4% and 10%</t>
  </si>
  <si>
    <t>This should be the financial year following construction completion</t>
  </si>
  <si>
    <t>Financial year benefits begin to accrue</t>
  </si>
  <si>
    <t>Financial year ending</t>
  </si>
  <si>
    <t>https://www.rba.gov.au/calculator/quarterDecimal.html</t>
  </si>
  <si>
    <t>General model setup</t>
  </si>
  <si>
    <t>Base case</t>
  </si>
  <si>
    <t>Total undiscounted network impacts</t>
  </si>
  <si>
    <t>CAPEX</t>
  </si>
  <si>
    <t>OPEX</t>
  </si>
  <si>
    <t>Offsheet parameters</t>
  </si>
  <si>
    <t>Sensitivity testing</t>
  </si>
  <si>
    <t>Discount 4 percent</t>
  </si>
  <si>
    <t>Discount 10 percent</t>
  </si>
  <si>
    <t>SensDisc4</t>
  </si>
  <si>
    <t>SensDisc10</t>
  </si>
  <si>
    <t>Capital cost</t>
  </si>
  <si>
    <t>SensCAPEXLow</t>
  </si>
  <si>
    <t>SensCAPEXHigh</t>
  </si>
  <si>
    <t>CAPEX low - 80%</t>
  </si>
  <si>
    <t>CAPEX high - 120%</t>
  </si>
  <si>
    <t>Benefits low - 80%</t>
  </si>
  <si>
    <t>Benefits high - 120%</t>
  </si>
  <si>
    <t>SensBenefitsLow</t>
  </si>
  <si>
    <t>SensBenefitsHigh</t>
  </si>
  <si>
    <t>$</t>
  </si>
  <si>
    <t>PV</t>
  </si>
  <si>
    <t>Add additional tabs as needed for sensitivity testing. Alternatively, this may be done on the DCF and tables tabs.</t>
  </si>
  <si>
    <t>Annualised</t>
  </si>
  <si>
    <t>FFLA</t>
  </si>
  <si>
    <t>Current year</t>
  </si>
  <si>
    <t>Current financial year</t>
  </si>
  <si>
    <t>Construction start year</t>
  </si>
  <si>
    <t>Construction period</t>
  </si>
  <si>
    <t>years</t>
  </si>
  <si>
    <t>Construction year</t>
  </si>
  <si>
    <t>Benefit ramp up</t>
  </si>
  <si>
    <t>ID</t>
  </si>
  <si>
    <t>Project Description</t>
  </si>
  <si>
    <t>Status</t>
  </si>
  <si>
    <t>Project identification</t>
  </si>
  <si>
    <t>Significant prerequisites and considerations</t>
  </si>
  <si>
    <t>Location: Trail Name</t>
  </si>
  <si>
    <t xml:space="preserve"> Additional stakeholder (Land owner/ manager)</t>
  </si>
  <si>
    <r>
      <t xml:space="preserve">Indicative cost
</t>
    </r>
    <r>
      <rPr>
        <i/>
        <sz val="9"/>
        <color theme="1"/>
        <rFont val="Arial"/>
        <family val="2"/>
      </rPr>
      <t>S-$0-50,000
M-$50,000-250,000
L-$250,000-1M
XL-$1M+</t>
    </r>
  </si>
  <si>
    <t>Equestrian focus?</t>
  </si>
  <si>
    <t>New trail construction?</t>
  </si>
  <si>
    <t>Existing trail upgrade/ widening?</t>
  </si>
  <si>
    <t>Crossing/ ramp/ bridge works?</t>
  </si>
  <si>
    <t>Signage/ way- finding?</t>
  </si>
  <si>
    <t>Lighting?</t>
  </si>
  <si>
    <t>Shovel ready?</t>
  </si>
  <si>
    <t>Funded?</t>
  </si>
  <si>
    <t>AitkenBoulevard_01</t>
  </si>
  <si>
    <t>Provide wayfinding signage along the length of the trail</t>
  </si>
  <si>
    <t>Audit</t>
  </si>
  <si>
    <t>Aitken Boulevard Shared Trail</t>
  </si>
  <si>
    <t>Hume</t>
  </si>
  <si>
    <t>S</t>
  </si>
  <si>
    <t>Y</t>
  </si>
  <si>
    <t>AitkenBoulevard_02</t>
  </si>
  <si>
    <t>M</t>
  </si>
  <si>
    <t>AitkenBoulevard_03</t>
  </si>
  <si>
    <t>Construct new section of trail from Brookfield Boulevard to Highlands Shopping Centre</t>
  </si>
  <si>
    <t>L</t>
  </si>
  <si>
    <t>BanyuleShared_01</t>
  </si>
  <si>
    <t xml:space="preserve">Construct new section of trail from Wattle Drive north to Watsonia Station </t>
  </si>
  <si>
    <t>No design undertaken to date</t>
  </si>
  <si>
    <t>Northern Trails Strategy 2016, Draft Baynule Bicycle Strategy, Banyule Walking Strategy, Audit</t>
  </si>
  <si>
    <t>NE Link</t>
  </si>
  <si>
    <t>Banyule Shared Trail</t>
  </si>
  <si>
    <t>Banyule</t>
  </si>
  <si>
    <t>BanyuleShared_02</t>
  </si>
  <si>
    <t>Construct new section of trail from Watsonia Station north to Grimshaw Street</t>
  </si>
  <si>
    <t>BanyuleShared_03</t>
  </si>
  <si>
    <t>Concept design is completed</t>
  </si>
  <si>
    <t>Northern Trails Strategy 2016, Draft Baynule Bicycle Strategy, Banyule Walking Strategy</t>
  </si>
  <si>
    <t>ParksVic</t>
  </si>
  <si>
    <t>BanyuleShared_04</t>
  </si>
  <si>
    <t>BanyuleShared_05</t>
  </si>
  <si>
    <t>Melbourne Water, ParksVic,  VicRoads</t>
  </si>
  <si>
    <t>BanyuleShared_06</t>
  </si>
  <si>
    <t>VicRoads</t>
  </si>
  <si>
    <t>XL</t>
  </si>
  <si>
    <t>BlindCreekTrail_01</t>
  </si>
  <si>
    <t>Partial detailed design completed</t>
  </si>
  <si>
    <t>Northern Trails Strategy 2016, Hume Bicycle Network Plan, Hume Walking and Cycling Strategy, Audit, Community Consultation</t>
  </si>
  <si>
    <t>Blind Creek Trail</t>
  </si>
  <si>
    <t>Melbourne Water</t>
  </si>
  <si>
    <t>BlindCreekTrail_02</t>
  </si>
  <si>
    <t xml:space="preserve">Provide wayfinding signage along the length of the trail </t>
  </si>
  <si>
    <t>BlindCreekTrail_03</t>
  </si>
  <si>
    <t>BlindCreekTrail_04</t>
  </si>
  <si>
    <t>BlindCreekTrail_05</t>
  </si>
  <si>
    <t>BlindCreekTrail_06</t>
  </si>
  <si>
    <t>BlindCreekTrail_07</t>
  </si>
  <si>
    <t>Hume Walking and Cycling Strategy, Audit</t>
  </si>
  <si>
    <t>Community consultation</t>
  </si>
  <si>
    <t>DarebinCreek_01</t>
  </si>
  <si>
    <t>Northern Trails Strategy 2016, Draft Baynule Bicycle Strategy, Audit</t>
  </si>
  <si>
    <t>Darebin Creek Trail</t>
  </si>
  <si>
    <t>Whittlesea</t>
  </si>
  <si>
    <t>DarebinCreek_02</t>
  </si>
  <si>
    <t>Upgrade section of trail between Gona Street and Southern Road</t>
  </si>
  <si>
    <t>Banyule Public Open Space Plan, Audit</t>
  </si>
  <si>
    <t>DarebinCreek_03</t>
  </si>
  <si>
    <t>Darebin</t>
  </si>
  <si>
    <t>Melbourne Water, VicRoads</t>
  </si>
  <si>
    <t>DarebinCreek_04</t>
  </si>
  <si>
    <t>DarebinCreek_05</t>
  </si>
  <si>
    <t>DarebinCreek_06</t>
  </si>
  <si>
    <t>DarebinCreek_07</t>
  </si>
  <si>
    <t>Whittlesea Open Space Strategy, Audit</t>
  </si>
  <si>
    <t>DarebinCreek_08</t>
  </si>
  <si>
    <t>Whittlesea Bicycle Plan, Audit</t>
  </si>
  <si>
    <t>DarebinCreek_09</t>
  </si>
  <si>
    <t>DarebinCreek_10</t>
  </si>
  <si>
    <t>Draft Baynule Bicycle Strategy, Audit</t>
  </si>
  <si>
    <t>Banyule, Darebin, Whittlesea</t>
  </si>
  <si>
    <t>DarebinCreek_11</t>
  </si>
  <si>
    <t>Provide a pedestrian priority crossing at McDonalds Road roundabout</t>
  </si>
  <si>
    <t>DiamondCreek_01</t>
  </si>
  <si>
    <t>Northern Trails Strategy 2016, Nillumbik Trails Strategy, Nillumbik Open Space Strategy, Audit, Community Consultation</t>
  </si>
  <si>
    <t>Diamond Creek Trail</t>
  </si>
  <si>
    <t>Nillumbik</t>
  </si>
  <si>
    <t>DiamondCreek_02</t>
  </si>
  <si>
    <t>Construct an underpass at Main Hurstbridge Road, Diamond Creek to avoid busy traffic crossing</t>
  </si>
  <si>
    <t>DiamondCreek_03</t>
  </si>
  <si>
    <t>DiamondCreek_04</t>
  </si>
  <si>
    <t>Install a signalised/ pedestrian priority crossing at Allendale Road</t>
  </si>
  <si>
    <t>DiamondCreek_05</t>
  </si>
  <si>
    <t>DiamondCreek_06</t>
  </si>
  <si>
    <t>DiamondCreek_07</t>
  </si>
  <si>
    <t>Construct new section of trail with wayfinding signage along Main Road and Diamond Street, Eltham to fill the gap in the trail and direct users to the continuation of the trail</t>
  </si>
  <si>
    <t>DiamondCreek_08</t>
  </si>
  <si>
    <t>DiamondCreek_09</t>
  </si>
  <si>
    <t>Nillumbik Open Space Strategy, Audit</t>
  </si>
  <si>
    <t>DiamondCreek_10</t>
  </si>
  <si>
    <t>Maintain/ upgrade sections of bitumen trail surface through Eltham Bushland Reserve alongside Main Road</t>
  </si>
  <si>
    <t>EastWestPower_01</t>
  </si>
  <si>
    <t>East West Power Easement Trail</t>
  </si>
  <si>
    <t>EastWestPower_02</t>
  </si>
  <si>
    <t>EastWestPower_03</t>
  </si>
  <si>
    <t>Banyule Walking Strategy, Audit</t>
  </si>
  <si>
    <t>EastWestPower_04</t>
  </si>
  <si>
    <t>Darebin, Whittlesea</t>
  </si>
  <si>
    <t>EastWestPower_05</t>
  </si>
  <si>
    <t>Draft Baynule Bicycle Strategy, Banyule Walking Strategy, Audit</t>
  </si>
  <si>
    <t>EastWestPower_06</t>
  </si>
  <si>
    <t>EastWestPower_07</t>
  </si>
  <si>
    <t>Construct a section of trail from the existing trail on Morwell Avenue to Watsonia Station</t>
  </si>
  <si>
    <t>EastWestPower_08</t>
  </si>
  <si>
    <t>EastWestPower_09</t>
  </si>
  <si>
    <t>Construct a new section of trail along Wendover Place and Yallambie Road, along the easement to the Plenty River Trail</t>
  </si>
  <si>
    <t>Northern Trails Strategy 2016, Banyule Walking Strategy, Banyule Public Open Space Plan, Audit</t>
  </si>
  <si>
    <t>EdgarsCreekTrail_01</t>
  </si>
  <si>
    <t>Northern Trails Strategy 2016, Audit, community Consultation</t>
  </si>
  <si>
    <t>Edgars Creek Trail</t>
  </si>
  <si>
    <t>Moreland</t>
  </si>
  <si>
    <t>EdgarsCreekTrail_02</t>
  </si>
  <si>
    <t>EdgarsCreekTrail_03</t>
  </si>
  <si>
    <t>EdgarsCreekTrail_04</t>
  </si>
  <si>
    <t>Construct new section of trail from Strahalbyn Chase to Contempo Boulevard</t>
  </si>
  <si>
    <t>Northern Trails Strategy 2016, Whittlesea Open Space Strategy, Audit</t>
  </si>
  <si>
    <t>EdgarsCreekTrail_05</t>
  </si>
  <si>
    <t>Audit, community Consultation</t>
  </si>
  <si>
    <t>EdgarsCreekTrail_06</t>
  </si>
  <si>
    <t>Construct a separate cycling only trail through Edwardes Lake Park</t>
  </si>
  <si>
    <t>EdgarsCreekTrail_07</t>
  </si>
  <si>
    <t>EdgarsCreekTrail_08</t>
  </si>
  <si>
    <t>Construct a section of trail along the creek from Glasgow Avenue to the Metropolitan Ring Road</t>
  </si>
  <si>
    <t>EdgarsCreekTrail_10</t>
  </si>
  <si>
    <t>Upgrade surface of trail between Main Street and Melaleuca Drive</t>
  </si>
  <si>
    <t>EdgarsCreekTrail_11</t>
  </si>
  <si>
    <t>EdgarsCreekTrail_12</t>
  </si>
  <si>
    <t>Whittlesea Bicycle Plan, Whittlesea Open Space Strategy, Audit</t>
  </si>
  <si>
    <t>EdgarsCreekTrail_13</t>
  </si>
  <si>
    <t>Construct a section of trail along the creek from Jersey Drive to Rockfield Street</t>
  </si>
  <si>
    <t>EdgarsCreekTrail_14</t>
  </si>
  <si>
    <t>Construct section of trail along the creek from Sheba Way to Snowy Place</t>
  </si>
  <si>
    <t>Darebin, Moreland, Whittlesea</t>
  </si>
  <si>
    <t>GaladaCraigieburn_01</t>
  </si>
  <si>
    <t>Galada Tamboore Pathway/ Craigieburn Shared Path</t>
  </si>
  <si>
    <t>Hume, Whittlesea</t>
  </si>
  <si>
    <t>GaladaCraigieburn_02</t>
  </si>
  <si>
    <t>HendersonsCreek_01</t>
  </si>
  <si>
    <t>Hendersons Creek Trail</t>
  </si>
  <si>
    <t>HendersonsCreek_02</t>
  </si>
  <si>
    <t>HendersonsCreek_03</t>
  </si>
  <si>
    <t>Provide a signalised/ pedestrian priority crossing over The Lakes Boulevard and Glenorchy Way</t>
  </si>
  <si>
    <t>HendersonsCreek_04</t>
  </si>
  <si>
    <t>HendersonsCreek_05</t>
  </si>
  <si>
    <t>Upgrade trail surface from Gordons Road to Darius Terrace</t>
  </si>
  <si>
    <t>HendersonsCreek_06</t>
  </si>
  <si>
    <t>Construct a section of trail from Darius Terrace to The Lakes Boulevard (at Findon Road) including a bridge crossing to connect to existing trail</t>
  </si>
  <si>
    <t>HendersonsCreek_07</t>
  </si>
  <si>
    <t>Provide a signalised/ pedestrian priority crossing over The Great Eastern Way</t>
  </si>
  <si>
    <t>HendersonsCreek_08</t>
  </si>
  <si>
    <t>Provide a signalised/ pedestrian priority crossing at Findon Road</t>
  </si>
  <si>
    <t>HendersonsCreek_09</t>
  </si>
  <si>
    <t>Upgrade trail surface from Findon Road to McDonalds Road</t>
  </si>
  <si>
    <t>Provide a signalised/ pedestrian priority crossing at McDonalds Road</t>
  </si>
  <si>
    <t>Provide a signalised/ pedestrian priority crossing or Underpass at Childs Road to connect to the Darebin Creek Trail</t>
  </si>
  <si>
    <t>KinglakeWay_01</t>
  </si>
  <si>
    <t>Establish a new trail from Hurstbridge to Arthurs Creek</t>
  </si>
  <si>
    <t>Northern Trails Strategy 2016, Nillumbik Trails Strategy</t>
  </si>
  <si>
    <t>Kinglake Way Trail</t>
  </si>
  <si>
    <t>MaroondahAqueduct_01</t>
  </si>
  <si>
    <t>Concept design, partial detailed design</t>
  </si>
  <si>
    <t>Northern Trails Strategy 2016, community Consultation</t>
  </si>
  <si>
    <t>Maroondah Aqueduct Trail</t>
  </si>
  <si>
    <t>MaroondahAqueduct_02</t>
  </si>
  <si>
    <t>MaroondahAqueduct_03</t>
  </si>
  <si>
    <t>Construct new section of trail from Warrandyte Kinglake Road, north along Westering, Ridge and Muir Roads to Skyline Road</t>
  </si>
  <si>
    <t>Northern Trails Strategy 2016, Nillumbik Trails Strategy, Nillumbik Open Space Strategy, Community Consultation</t>
  </si>
  <si>
    <t>Melbourne Water, ParksVic, VicRoads</t>
  </si>
  <si>
    <t>MaroondahAqueduct_04</t>
  </si>
  <si>
    <t>Extend the trail west from Godber Road to connect to the Diamond Creek Trail</t>
  </si>
  <si>
    <t>MaroondahAqueduct_05</t>
  </si>
  <si>
    <t>Banyule, Nillumbik</t>
  </si>
  <si>
    <t>MaroondahAqueduct_06</t>
  </si>
  <si>
    <t>Realign section of trail either side of Afton Street to reduce grade</t>
  </si>
  <si>
    <t>MerriCreekTrail_01</t>
  </si>
  <si>
    <t>Northern Trails Strategy 2016, Hume Bicycle Network Plan, Hume Walking and Cycling Strategy, Hume Open Space Strategy, Whittlesea Open Space Strategy</t>
  </si>
  <si>
    <t>Merri Creek Trail</t>
  </si>
  <si>
    <t>Melbourne Water, ParksVic</t>
  </si>
  <si>
    <t>MerriCreekTrail_02</t>
  </si>
  <si>
    <t>Northern Trails Strategy 2016</t>
  </si>
  <si>
    <t>MerriCreekTrail_03</t>
  </si>
  <si>
    <t>Hume Bicycle Network Plan, Hume Walking and Cycling Strategy, Hume Open Space Strategy, Audit, Community Consultation</t>
  </si>
  <si>
    <t>MerriCreekTrail_04</t>
  </si>
  <si>
    <t>Darebin, Hume, Moreland, Whittlesea</t>
  </si>
  <si>
    <t>MerriCreekTrail_05</t>
  </si>
  <si>
    <t>Realign section of trail south of Heidelberg Road to reduce steep grade</t>
  </si>
  <si>
    <t>Yarra</t>
  </si>
  <si>
    <t>City of Yarra, Melbourne Water, ParksVic</t>
  </si>
  <si>
    <t>MerriCreekTrail_06</t>
  </si>
  <si>
    <t>MerriCreekTrail_07</t>
  </si>
  <si>
    <t>City of Yarra, Melbourne Water</t>
  </si>
  <si>
    <t>MerriCreekTrail_08</t>
  </si>
  <si>
    <t>Moreland, Yarra</t>
  </si>
  <si>
    <t>MerriCreekTrail_09</t>
  </si>
  <si>
    <t>Darebin Cycling Strategy, Merri creek Trail Review, Audit, community consultation</t>
  </si>
  <si>
    <t>MerriCreekTrail_10</t>
  </si>
  <si>
    <t>MerriCreekTrail_11</t>
  </si>
  <si>
    <t>Merri creek Trail Review, Audit, Community consultation</t>
  </si>
  <si>
    <t>MerriCreekTrail_12</t>
  </si>
  <si>
    <t>MerriCreekTrail_13</t>
  </si>
  <si>
    <t>MerriCreekTrail_14</t>
  </si>
  <si>
    <t>MerriCreekTrail_15</t>
  </si>
  <si>
    <t>Construct a new section of trail from Vervale Avenue to the bridge crossing to the north to provide an alternative route with a gentler grade</t>
  </si>
  <si>
    <t>MerriCreekTrail_16</t>
  </si>
  <si>
    <t>MetroRingRdTrail_01</t>
  </si>
  <si>
    <t>Hume Bicycle Network Plan, Audit</t>
  </si>
  <si>
    <t>Metropolitan Ring Road Trail</t>
  </si>
  <si>
    <t>MetroRingRdTrail_02</t>
  </si>
  <si>
    <t>MetroRingRdTrail_03</t>
  </si>
  <si>
    <t>MetroRingRdTrail_04</t>
  </si>
  <si>
    <t>MooneePondsCreek_01</t>
  </si>
  <si>
    <t>Moonee Ponds Creek Trail</t>
  </si>
  <si>
    <t>MooneePondsCreek_02</t>
  </si>
  <si>
    <t>Hume Bicycle Network Plan, Hume Walking and Cycling Strategy, Audit</t>
  </si>
  <si>
    <t>MooneePondsCreek_03</t>
  </si>
  <si>
    <t>MooneePondsCreek_04</t>
  </si>
  <si>
    <t>Hume Walking and Cycling Strategy</t>
  </si>
  <si>
    <t>MooneePondsCreek_05</t>
  </si>
  <si>
    <t>Provide wayfinding signage along the length of the trail include at crossing points, connections to other trails and where appropriate to direct users to optimal trail route where alternatives occur</t>
  </si>
  <si>
    <t>MooneePondsCreek_06</t>
  </si>
  <si>
    <t>Upgrade surface of trail from the rail line south to the Essendon Baseball Club</t>
  </si>
  <si>
    <t>MooneePondsCreek_07</t>
  </si>
  <si>
    <t>Construct section of new trail between Primrose Street and Vanberg Road</t>
  </si>
  <si>
    <t>Moreland Open Space Strategy, Audit</t>
  </si>
  <si>
    <t>MooneePondsCreek_08</t>
  </si>
  <si>
    <t>Upgrade trail surface from Boeing Reserve, Strathmore, to Brunswick Road to improve safety and cross grade</t>
  </si>
  <si>
    <t>NorthernPipeTrail_01</t>
  </si>
  <si>
    <t>Extend the Northern Pipe/ St Georges Rd/ Cheddar Road Trail north to the Metropolitan Ring Road</t>
  </si>
  <si>
    <t>Northern Pipe/ St Georges Rd/ Cheddar Road Trail</t>
  </si>
  <si>
    <t>NorthernPipeTrail_02</t>
  </si>
  <si>
    <t>Darebin Cycling Strategy, Audit</t>
  </si>
  <si>
    <t>NorthernPipeTrail_03</t>
  </si>
  <si>
    <t>NorthernPipeTrail_04</t>
  </si>
  <si>
    <t>NorthernPipeTrail_05</t>
  </si>
  <si>
    <t>Widen and resurface the section of trail between Clarke Street and Arthurton Road to align with newly constructed sections of trail</t>
  </si>
  <si>
    <t>NorthernPipeTrail_06</t>
  </si>
  <si>
    <t>Advocate for trail alignment alongside the train line from Garden Street to Cheddar Road to replace section of trail on the footpath</t>
  </si>
  <si>
    <t>Widen trail surface in the Cheddar Road central median from High Street to Hickford Street</t>
  </si>
  <si>
    <t>PlentyRiver_01</t>
  </si>
  <si>
    <t>Extend trail east to Mclaughlans Lane</t>
  </si>
  <si>
    <t>Plenty River Trail</t>
  </si>
  <si>
    <t>PlentyRiver_02</t>
  </si>
  <si>
    <t>Upgrade and widen section of trail from Punkerri Circuit to Booyan Crescent</t>
  </si>
  <si>
    <t>PlentyRiver_03</t>
  </si>
  <si>
    <t xml:space="preserve">Realign section of trail to reduce grade and provide an underpass at Booyan Crescent </t>
  </si>
  <si>
    <t>PlentyRiver_04</t>
  </si>
  <si>
    <t>Widen section of trail under the Greensborough Bypass</t>
  </si>
  <si>
    <t>PlentyRiver_06</t>
  </si>
  <si>
    <t>Upgrade and widen section of trail at Main Street</t>
  </si>
  <si>
    <t>Banyule Public Open Space Plan, Banyule Public Open Space Plan, Audit</t>
  </si>
  <si>
    <t>PlentyRiver_07</t>
  </si>
  <si>
    <t>Provide wayfinding signage at Poulter Reserve to direct users to the wider trail on the western side</t>
  </si>
  <si>
    <t>PlentyRiver_08</t>
  </si>
  <si>
    <t>Construct a new section of trail at Bicton Street</t>
  </si>
  <si>
    <t>Upgrade and widen section of trail with wayfinding signage at Montmorency Park</t>
  </si>
  <si>
    <t>Banyule Public Open Space Plan, Banyule Public Open Space Plan, Audit, Community Consultation</t>
  </si>
  <si>
    <t>PlentyRiver_10</t>
  </si>
  <si>
    <t>PlentyRiver_11</t>
  </si>
  <si>
    <t>PlentyRiver_12</t>
  </si>
  <si>
    <t>Upgrade pedestrian bridges on the Plenty River Trail where required and improve sight lines where appropriate</t>
  </si>
  <si>
    <t>Banyule Public Open Space Plan</t>
  </si>
  <si>
    <t>PlentyRiver_13</t>
  </si>
  <si>
    <t>PlentyRiver_14</t>
  </si>
  <si>
    <t>Nillumbik Open Space Strategy, Whittlesea Open Space Strategy, Community consultation</t>
  </si>
  <si>
    <t>Nillumbik, Whittlesea</t>
  </si>
  <si>
    <t>UpfieldRail_01</t>
  </si>
  <si>
    <t>Construct new section of trail from Box Forest Road north to Metropolitan Ring Road</t>
  </si>
  <si>
    <t>Concept Design</t>
  </si>
  <si>
    <t>Upfield Rail Trail</t>
  </si>
  <si>
    <t>UpfieldRail_02</t>
  </si>
  <si>
    <t>Hume Walking and Cycling Strategy, Community consultation</t>
  </si>
  <si>
    <t>UpfieldRail_03</t>
  </si>
  <si>
    <t>UpfieldRail_04</t>
  </si>
  <si>
    <t>UpfieldRail_05</t>
  </si>
  <si>
    <t>Construct an off-road shared path along Bain Avenue</t>
  </si>
  <si>
    <t>UpfieldRail_06</t>
  </si>
  <si>
    <t>Widen section of trail between Plaisted Street and Shorts Road</t>
  </si>
  <si>
    <t>UpfieldRail_07</t>
  </si>
  <si>
    <t>Construct an off-road shared path along Ararat Avenue</t>
  </si>
  <si>
    <t>UpfieldRail_08</t>
  </si>
  <si>
    <t>Provide a signalised/ pedestrian priority crossing over Bakers Road</t>
  </si>
  <si>
    <t>UpfieldRail_09</t>
  </si>
  <si>
    <t>Construct an off-road shared path along Renown Street</t>
  </si>
  <si>
    <t>UpfieldRail_10</t>
  </si>
  <si>
    <t>UpfieldRail_11</t>
  </si>
  <si>
    <t>Construct an off-road shared path along Batman Avenue</t>
  </si>
  <si>
    <t>UpfieldRail_12</t>
  </si>
  <si>
    <t>UpfieldRail_13</t>
  </si>
  <si>
    <t>UpfieldRail_14</t>
  </si>
  <si>
    <t>Upgrade and widen trail from Victoria Street to Jewell Station</t>
  </si>
  <si>
    <t>UpfieldRail_15</t>
  </si>
  <si>
    <t>Provide a signalised/ pedestrian priority crossing over Albert Street</t>
  </si>
  <si>
    <t>UpfieldRail_16</t>
  </si>
  <si>
    <t>WhittleseaRail_01</t>
  </si>
  <si>
    <t>Northern Trails Strategy 2016, Whittlesea Rail Trail Master Plan Review, Audit, Community consultation</t>
  </si>
  <si>
    <t>Whittlesea Rail Trail</t>
  </si>
  <si>
    <t>WhittleseaRail_02</t>
  </si>
  <si>
    <t>WhittleseaRail_03</t>
  </si>
  <si>
    <t>Provide a pedestrian priority crossing at the Lakes Boulevard</t>
  </si>
  <si>
    <t>Whittlesea Rail Trail Master Plan Review, Audit</t>
  </si>
  <si>
    <t>YarraTrail_01</t>
  </si>
  <si>
    <t>Yarra Trail</t>
  </si>
  <si>
    <t>YarraTrail_02</t>
  </si>
  <si>
    <t>Detailed design is completed</t>
  </si>
  <si>
    <t>YarraTrail_03</t>
  </si>
  <si>
    <t>YarraTrail_04</t>
  </si>
  <si>
    <t>Upgrade surface and width of existing trail from Banksia Street to Yarra Street</t>
  </si>
  <si>
    <t>YarraTrail_05</t>
  </si>
  <si>
    <t>Upgrade surface and width of existing trail from junction with Plenty River Trail to Fitzsimmons Lane Reserve</t>
  </si>
  <si>
    <t>YarraTrail_06</t>
  </si>
  <si>
    <t>YarraTrail_08</t>
  </si>
  <si>
    <t>Construct shared use trail from the Mullum Mullum Creek Trail to the Warrandyte State Park</t>
  </si>
  <si>
    <t>YarraTrail_09</t>
  </si>
  <si>
    <t>YurokeCreek_01</t>
  </si>
  <si>
    <t>Construct new section of trail along the Melbourne Water Pipe Track from Greenvale Reservoir Park south to the existing section of the Yuroke Creek Trail</t>
  </si>
  <si>
    <t>Northern Trails Strategy 2016, Hume Bicycle Network Plan, Audit</t>
  </si>
  <si>
    <t>Yuroke Creek Trail</t>
  </si>
  <si>
    <t>YurokeCreek_02</t>
  </si>
  <si>
    <t>YurokeCreek_03</t>
  </si>
  <si>
    <t>YurokeCreek_04</t>
  </si>
  <si>
    <t>Provide a pedestrian priority crossing at Somerton Road to connect trail to Greenvale Reservoir</t>
  </si>
  <si>
    <t>Base case CAPEX</t>
  </si>
  <si>
    <t>Input for model</t>
  </si>
  <si>
    <t>Raw data provided by FFLA</t>
  </si>
  <si>
    <t>Assumed</t>
  </si>
  <si>
    <t>OPEX as proportion of CAPEX</t>
  </si>
  <si>
    <t>Annual OPEX in fully operational year</t>
  </si>
  <si>
    <t>Project case</t>
  </si>
  <si>
    <t>Cost input for model</t>
  </si>
  <si>
    <t>Project case CAPEX (total)</t>
  </si>
  <si>
    <t>Project case CAPEX (by year)</t>
  </si>
  <si>
    <t>Year</t>
  </si>
  <si>
    <t>Assume even spend by year</t>
  </si>
  <si>
    <t>N/A</t>
  </si>
  <si>
    <t>CAPEX by year</t>
  </si>
  <si>
    <t>OPEX by year</t>
  </si>
  <si>
    <t>Population within 400m of existing trails</t>
  </si>
  <si>
    <t>Population within 400m of existing + future trails</t>
  </si>
  <si>
    <t>Population within 800m of existing trails</t>
  </si>
  <si>
    <t>Population within 800m of existing + future trails</t>
  </si>
  <si>
    <t>Project case proportionate increase (400m)</t>
  </si>
  <si>
    <t>Project case proportionate increase (800m)</t>
  </si>
  <si>
    <t>Population within proximity of current and future trails</t>
  </si>
  <si>
    <t>Trail count data</t>
  </si>
  <si>
    <t>Relevant survey data</t>
  </si>
  <si>
    <t>Parameters</t>
  </si>
  <si>
    <t>Health benefit of walking (per kilometre)</t>
  </si>
  <si>
    <t>Health benefit of cycling (per kilometre)</t>
  </si>
  <si>
    <t>Australian Transport Assessment and Planning Guidelines (M4 Active Travel) (sourced 2021)</t>
  </si>
  <si>
    <t>See screen capture right, taken from page 9</t>
  </si>
  <si>
    <t>Benefit 1 - health benefit</t>
  </si>
  <si>
    <t>Benefit 2 - transport network cost savings</t>
  </si>
  <si>
    <t>Savings in car user costs (per kilometre)</t>
  </si>
  <si>
    <t>Decongestion benefit (per kilometre)</t>
  </si>
  <si>
    <t>Air pollution reduction (per kilometre)</t>
  </si>
  <si>
    <t>Noise reduction (per kilometre)</t>
  </si>
  <si>
    <t>Greenhouse gas reduction (per kilometre)</t>
  </si>
  <si>
    <t>TOTAL (per kilometre)</t>
  </si>
  <si>
    <t>Benefit 3 - local leisure and recreation benefits</t>
  </si>
  <si>
    <t>Incremental difference</t>
  </si>
  <si>
    <t>Walking</t>
  </si>
  <si>
    <t>Cycling</t>
  </si>
  <si>
    <t>Benefit 1</t>
  </si>
  <si>
    <t>Benefit 2</t>
  </si>
  <si>
    <t>Benefit 3</t>
  </si>
  <si>
    <t>Capital and operating costs</t>
  </si>
  <si>
    <t>Project option - outputs</t>
  </si>
  <si>
    <t>Running</t>
  </si>
  <si>
    <t>Walking or comparative exercise</t>
  </si>
  <si>
    <t>Base case and project case mode share</t>
  </si>
  <si>
    <t>Increase in trail use if improvements implemented</t>
  </si>
  <si>
    <t>Aitken Boulevard Trail (Aitken Boulevard, Craigieburn)</t>
  </si>
  <si>
    <t>Banyule Shared Trail(Along the Greensborough Bypass in Watsonia to Heidelberg)</t>
  </si>
  <si>
    <t>Blind Creek Trail(Blind Creek, Sunbury)</t>
  </si>
  <si>
    <t>Darebin Creek Trail(Darebin Creek, Epping to Ivanhoe)</t>
  </si>
  <si>
    <t>Diamond Creek Trail(Diamond Creek, Diamond Creek to Eltham)</t>
  </si>
  <si>
    <t>East West Power Easement Trail(Bundoora to Yallambie)</t>
  </si>
  <si>
    <t>Edgars Creek Trail(Edgars Creek, Thomastown to Coburg)</t>
  </si>
  <si>
    <t>Galada Tamboore Pathway(Along the Craigieburn Bypass, Craigieburn to Thomastown)</t>
  </si>
  <si>
    <t>Hendersons Creek Trail(Hendersons Creek, South Morang)</t>
  </si>
  <si>
    <t>Maroondah Aqueduct Trail(Maroondah Aqueduct, Eltham and Research)</t>
  </si>
  <si>
    <t>Merri Creek Trail(Merri Creek, Campbellfield to Northcote)</t>
  </si>
  <si>
    <t>Metropolitan Ring Road Trail(Metropolitan Ring Road, Gladstone Park to Greensborough)</t>
  </si>
  <si>
    <t>Moonee Ponds Creek Trail(Moonee Ponds Creek, Jacana to Parkville)</t>
  </si>
  <si>
    <t>Northern Pipe Trail/ St Georges Road &amp; Chedder Road Trail(Along St Georges Road, Thomastown to Northcote)</t>
  </si>
  <si>
    <t>Plenty River Trail(Plenty River, Plenty to Viewbank)</t>
  </si>
  <si>
    <t>Epping to Whittlesea Rail Trail(Along the rail line from Epping to Mernda)</t>
  </si>
  <si>
    <t>Upfield Rail Trail(Along the rail line from Parkville to Gowrie)</t>
  </si>
  <si>
    <t>Yarra Trail (Yarra River, Fairfield to Eltham)</t>
  </si>
  <si>
    <t>Yuroke Creek Trail(Yuroke Creek, Greenvale to Jacana)</t>
  </si>
  <si>
    <t>Daily use</t>
  </si>
  <si>
    <t>Trail</t>
  </si>
  <si>
    <t>Refer Nillumbik Trails count data - SGS edit. Taken average of count data for PC13 and PC17</t>
  </si>
  <si>
    <t>Project case (full) - average trail use per day if 100% improvements made</t>
  </si>
  <si>
    <t>Refer upfield corridor study excel doc. Average count from 3 spots (Upfield intersections with Munro, Moreland and Park St). Count on 5 Feb 2019</t>
  </si>
  <si>
    <t>Trail use assumptions</t>
  </si>
  <si>
    <t>km</t>
  </si>
  <si>
    <t>Average cycling speed</t>
  </si>
  <si>
    <t>km/h</t>
  </si>
  <si>
    <t>min</t>
  </si>
  <si>
    <t>Average walking speed</t>
  </si>
  <si>
    <t>Base case and project case mode share/average time per event/average distance per event</t>
  </si>
  <si>
    <t>%/min/km</t>
  </si>
  <si>
    <t>Min</t>
  </si>
  <si>
    <t>Km</t>
  </si>
  <si>
    <t>Population within 400m</t>
  </si>
  <si>
    <t>Within 400m of existing trails</t>
  </si>
  <si>
    <t>Within 400m of existing + future trails</t>
  </si>
  <si>
    <t>Raw input</t>
  </si>
  <si>
    <t>Interpolated 2021-2031</t>
  </si>
  <si>
    <t>2051 maintained</t>
  </si>
  <si>
    <t>Total (per day)</t>
  </si>
  <si>
    <t>Total (per year)</t>
  </si>
  <si>
    <t>Annual use of northern trails network (2021 approx)</t>
  </si>
  <si>
    <t>Project case - existing trail use due to improvements</t>
  </si>
  <si>
    <t>Project case - new trail use</t>
  </si>
  <si>
    <t>Project case - total</t>
  </si>
  <si>
    <t>GIS analysis undertaken by SGS, using SALUP data</t>
  </si>
  <si>
    <t>400m buffer has been applied to model</t>
  </si>
  <si>
    <t>Base case health benefit (walking)</t>
  </si>
  <si>
    <t>Project case health benefit (walking)</t>
  </si>
  <si>
    <t>Incremental benefit (walking)</t>
  </si>
  <si>
    <t>Base case health benefit (cycling)</t>
  </si>
  <si>
    <t>Project case health benefit (cycling)</t>
  </si>
  <si>
    <t>Incremental benefit (cycling)</t>
  </si>
  <si>
    <t>Base case health benefit (walking + cycling)</t>
  </si>
  <si>
    <t>Project case health benefit (walking + cycling)</t>
  </si>
  <si>
    <t>Incremental benefit (walking + cycling)</t>
  </si>
  <si>
    <t>Base case transport network costs</t>
  </si>
  <si>
    <t>Project case transport network costs</t>
  </si>
  <si>
    <t>Difference (incremental cost saving benefit)</t>
  </si>
  <si>
    <t>BCR</t>
  </si>
  <si>
    <t>FY2010</t>
  </si>
  <si>
    <t>FY2022</t>
  </si>
  <si>
    <t>Commuter vs recreation use</t>
  </si>
  <si>
    <t>As in previous Austroads unit values updates (Austroads, 2012a), private travel time was valued at 40% of seasonally adjusted full time AWE for Australia (Austroads, 1997) or $14.99 per person-hour (i.e. 40% of the AWE).</t>
  </si>
  <si>
    <t>ATAP - Pv2_road parameter</t>
  </si>
  <si>
    <t>FY2013</t>
  </si>
  <si>
    <t>FY2010 to FY2022</t>
  </si>
  <si>
    <t>FY2013 to FY2022</t>
  </si>
  <si>
    <t>FY10toFY22</t>
  </si>
  <si>
    <t>FY13toFY22</t>
  </si>
  <si>
    <t>Value of leisure time (per hour)</t>
  </si>
  <si>
    <t>Difference (incremental value of leisure time)</t>
  </si>
  <si>
    <t>\\SGSPL.local\DFS\Company\Synergy\Projects\2020\20200512 FFLA - Northern Regional Trails CBA\Raw inputs\Survey data</t>
  </si>
  <si>
    <t>See 'edited for CBA input' document</t>
  </si>
  <si>
    <t>Commuter</t>
  </si>
  <si>
    <t>Recreation</t>
  </si>
  <si>
    <t>Base case annual value of leisure time</t>
  </si>
  <si>
    <t>Project case annual value of leisure time</t>
  </si>
  <si>
    <t>Counting commuter trips only</t>
  </si>
  <si>
    <t>Counting leisure trips only</t>
  </si>
  <si>
    <t>Base case - average trail use per year (for trail users only)</t>
  </si>
  <si>
    <t>Parking</t>
  </si>
  <si>
    <t>https://www.theage.com.au/national/victoria/car-parks-out-footpaths-and-cycling-lanes-in-as-city-prepares-for-post-covid-commuters-20200507-p54qrp.html</t>
  </si>
  <si>
    <t>Bike riders only, so potentially a conservative number</t>
  </si>
  <si>
    <t>Based on 1.5 percent of people within 400m using the trail</t>
  </si>
  <si>
    <t>NPV</t>
  </si>
  <si>
    <t>Discount factor (7%)</t>
  </si>
  <si>
    <t>Discount factor (4%)</t>
  </si>
  <si>
    <t>Discount factor (10%)</t>
  </si>
  <si>
    <t>Best and worst</t>
  </si>
  <si>
    <t>CAPEX low</t>
  </si>
  <si>
    <t>CAPEX high</t>
  </si>
  <si>
    <t>Benefits low</t>
  </si>
  <si>
    <t>Benefits high</t>
  </si>
  <si>
    <t>Total costs - raw</t>
  </si>
  <si>
    <t>Total benefits - raw</t>
  </si>
  <si>
    <t>CAPEX low, benefits standard</t>
  </si>
  <si>
    <t>CAPEX high, benefits standard</t>
  </si>
  <si>
    <t>Economic indicators</t>
  </si>
  <si>
    <t>Standard outputs</t>
  </si>
  <si>
    <t>CAPEX standard, benefits low</t>
  </si>
  <si>
    <t>CAPEX standard, benefits high</t>
  </si>
  <si>
    <t>CAPEX low, benefits high (best case)</t>
  </si>
  <si>
    <t>CAPEX high, benefits low (worst case)</t>
  </si>
  <si>
    <t>https://www.abs.gov.au/statistics/economy/price-indexes-and-inflation/wage-price-index-australia/latest-release</t>
  </si>
  <si>
    <t>All time series spreadsheet</t>
  </si>
  <si>
    <t>Total discounted costs</t>
  </si>
  <si>
    <t>Line items for figure</t>
  </si>
  <si>
    <t>Cumulative PV costs</t>
  </si>
  <si>
    <t>Cumulative PV benefits</t>
  </si>
  <si>
    <t>Total undiscounted benefits</t>
  </si>
  <si>
    <t>Total discounted benefits</t>
  </si>
  <si>
    <t>Base</t>
  </si>
  <si>
    <t>Project case CAPEX</t>
  </si>
  <si>
    <t>AitkenBoulevard_04</t>
  </si>
  <si>
    <t>DiamondCreek_11</t>
  </si>
  <si>
    <t>DiamondCreek_12</t>
  </si>
  <si>
    <t>DiamondCreek_13</t>
  </si>
  <si>
    <t>DiamondCreek_14</t>
  </si>
  <si>
    <t>EastWestPower_10</t>
  </si>
  <si>
    <t>EdgarsCreekTrail_9</t>
  </si>
  <si>
    <t>GreenWedge_01</t>
  </si>
  <si>
    <t>GreenWedge_02</t>
  </si>
  <si>
    <t>GreenWedge_03</t>
  </si>
  <si>
    <t>GreenWedge_04</t>
  </si>
  <si>
    <t>GreenWedge_05</t>
  </si>
  <si>
    <t>GreenWedge_06</t>
  </si>
  <si>
    <t>HurstbridgeRailTrail_01</t>
  </si>
  <si>
    <t>HurstbridgeRailTrail_02</t>
  </si>
  <si>
    <t>HurstbridgeRailTrail_03</t>
  </si>
  <si>
    <t>HurstbridgeRailTrail_04</t>
  </si>
  <si>
    <t>HurstbridgeRailTrail_05</t>
  </si>
  <si>
    <t>HurstbridgeRailTrail_06</t>
  </si>
  <si>
    <t>JacksonsCreek_01</t>
  </si>
  <si>
    <t>JacksonsCreek_02</t>
  </si>
  <si>
    <t>JacksonsCreek_03</t>
  </si>
  <si>
    <t>MerriCreekTrail_17</t>
  </si>
  <si>
    <t>MerriCreekTrail_18</t>
  </si>
  <si>
    <t>MerriCreekTrail_19</t>
  </si>
  <si>
    <t>MerriCreekTrail_20</t>
  </si>
  <si>
    <t>MooneePondsCreek_09</t>
  </si>
  <si>
    <t>MooneePondsCreek_10</t>
  </si>
  <si>
    <t>MooneePondsCreek_11</t>
  </si>
  <si>
    <t>PlentyRiver_05</t>
  </si>
  <si>
    <t>PlentyRiver_9</t>
  </si>
  <si>
    <t>SomertonRoad_01</t>
  </si>
  <si>
    <t>YanYeanPipeTrack_01</t>
  </si>
  <si>
    <t>YanYeanPipeTrack_02</t>
  </si>
  <si>
    <t>YanYeanPipeTrack_03</t>
  </si>
  <si>
    <t>YanYeanPipeTrack_04</t>
  </si>
  <si>
    <t>YarraTrail_07</t>
  </si>
  <si>
    <t>YurokeCreek_05</t>
  </si>
  <si>
    <t>Construct new section of trail on the eastern side of Aitken Boulevard from the Aitken Creek to Craigieburn Road</t>
  </si>
  <si>
    <t>Construct new section of trail from the Yuroke Creek Trail to Somerton Road following duplication of Somerton Road and a safe crossing point being constructed</t>
  </si>
  <si>
    <t>Construct new section of the trail from Banksia Street south to the Yarra Trail just north of McArthur Road</t>
  </si>
  <si>
    <t>Realign trail at playground on River Gum Walk to reduce incline</t>
  </si>
  <si>
    <t>Provide a grade separated north-south walking and cycling link across Grimshaw Street at the Greensborough Bypass</t>
  </si>
  <si>
    <t>Plan for a new section of trail from the rail line in Sunbury east to Jacksons Creek and The Nook/Bicentennial Park</t>
  </si>
  <si>
    <t>Investigate the feasibility of realigning the underpass at Riddell Road to cater to all users (cyclists) and improve access and safety</t>
  </si>
  <si>
    <t>Investigate a pedestrian priority crossing with wayfinding signage at Phillip Drive</t>
  </si>
  <si>
    <t>Investigate a pedestrian priority crossing at Elizabeth Drive</t>
  </si>
  <si>
    <t>Investigate a pedestrian priority crossing with wayfinding signage at Racecourse Road</t>
  </si>
  <si>
    <t>Upgrade section of trail at lake adjacent to Salesian College Sunbury</t>
  </si>
  <si>
    <t>Construct new section of trail on the western side of the creek from the train underpass east of Epping Station to Greenbrook Drive</t>
  </si>
  <si>
    <t>Investigate the feasibility of an underpass or bridge crossing Plenty Road intersection to avoid section of trail on Plenty Road footpath</t>
  </si>
  <si>
    <t>Construct a new section of trail on the eastern side of the Darebin Creek from Dunne Street to Chenies Street including an underpass at Dunne Street and Chenies Street</t>
  </si>
  <si>
    <t>Investigate the feasibility of an underpass or signalised pedestrian crossing at Settlement Road to improve trail continuity</t>
  </si>
  <si>
    <t>Construct a new section of trail that follows the creek from the Metropolitan Ring Road through the Darebin Creek Linear Reserve to connect to the new section of trail</t>
  </si>
  <si>
    <t>Elevate the section of the Darebin Creek Trail where it passes beneath the Western Ring Road to avoid flooding</t>
  </si>
  <si>
    <t>Investigate the feasibility of an underpass and bridge crossing at McKimmies Road to avoid section of trail on McKimmies Road bridge</t>
  </si>
  <si>
    <t>Investigate the feasibility of an underpass and bridge crossing at Childs Road to avoid section of trail on Childs Road bridge</t>
  </si>
  <si>
    <t xml:space="preserve">Investigate the feasibility of an underpass and bridge crossing at Findon Road to avoid section of trail on Findon Road </t>
  </si>
  <si>
    <t xml:space="preserve">Construct new section of trail from Wilson Road to Graysharps Road, Hurstbridge. </t>
  </si>
  <si>
    <t>Construct new section of trail from Graysharps Road to Fergusons Paddock</t>
  </si>
  <si>
    <t>Widen trail surface from Allendale Road north to Main Hurstbridge Road</t>
  </si>
  <si>
    <t>Maintain/ upgrade sections of bitumen trail surface through Eltham North Reserve, Research Gully, Eltham North Playground, and Edendale Community Farm</t>
  </si>
  <si>
    <t xml:space="preserve">Realign the section of trail at the Wattletree Road underpass to create a gentler grade and wider trail surface </t>
  </si>
  <si>
    <t>Upgrade surface of existing trail between Susan Street Oval and Ely St, with wayfinding or line marking to create a consistent and legible trail</t>
  </si>
  <si>
    <t xml:space="preserve">Realign/ enhance the section of trail through the Eltham Lower Park. </t>
  </si>
  <si>
    <t>Realign/ enhance the existing underpass beneath Gastons Rd</t>
  </si>
  <si>
    <t>Realign the sharp bend in the trail between Laurel Hill Drive and Allendale Road</t>
  </si>
  <si>
    <t xml:space="preserve">Construct a section of trail from the Northern Pipe/ St Georges Rd/ Cheddar Road Trail north west along the vacant pipe reserve </t>
  </si>
  <si>
    <t>Construct a section of trail from the Northern Pipe/ St Georges Rd/ Cheddar Road Trail south east along the vacant pipe reserve to Edwardes Lake Park</t>
  </si>
  <si>
    <t xml:space="preserve">Construct a section of trail along Holt Parade to connect to the Darebin Creek Trail (at Valley Road) </t>
  </si>
  <si>
    <t>Investigate the feasibility of a new section of trail, including a new bridge crossing, from the Darebin Creek Trail, at Holt Parade, around Mount Cooper to connect to the existing section of trail at Snake Gully Drive</t>
  </si>
  <si>
    <t>Construct a section of trail from Reedy Rise to Plenty Road including a new pedestrian priority crossing at Plenty Road</t>
  </si>
  <si>
    <t>Investigate options for providing a new section of trail from Dilkara Avenue to Gleeson Drive</t>
  </si>
  <si>
    <t>Upgrade existing footbridge over the rail line at Watsonia Station including an  underpass/ overpass at Greensborough Road to avoid footpath and multiple road crossings</t>
  </si>
  <si>
    <t>Construct new section of trail from the Merri Creek Trail to Ronald Street on the west bank</t>
  </si>
  <si>
    <t>Construct new section of trail from Ronald Street to Carrington Road. Consider keeping the trail away from the creek and along development frontages</t>
  </si>
  <si>
    <t>Construct a new section of trail along the creek from Carrington Road to Edwardes Lake. Explore the feasibility of a trail between Kia Ora Road and Henty Street on the east bank.</t>
  </si>
  <si>
    <t>Construct a dedicated shared trail from the public toilets in Edwardes Lake Park, around the car park and over  Leamington Street</t>
  </si>
  <si>
    <t>Investigate the feasibility of an underpass and bridge crossing at Broadhurst Avenue</t>
  </si>
  <si>
    <t>Construct section of trail between German Lane and Kingsway Drive, Lalor</t>
  </si>
  <si>
    <t>Construct section of trail along the street from Deveny Road to Cooper Street, Epping</t>
  </si>
  <si>
    <t>Reinstate centre line marking along the trail</t>
  </si>
  <si>
    <t>Construct a new section of trail east from the Diamond Creek Trail at Wattle Glen Station along Watery Gully Creek to existing trail on Watery Gully Road</t>
  </si>
  <si>
    <t>Construct a new section of trail from Couties Road to Alma Road</t>
  </si>
  <si>
    <t>Construct a new section of trail along Long Gully Road from Alma Road to Turnung Road</t>
  </si>
  <si>
    <t>Construct an extension of the trail from the intersection of Clintons Road and Spanish Gully Road to the Marshalls Road car park within the Kinglake National Park</t>
  </si>
  <si>
    <t>Upgrade existing sections of to match width and material treatment of new sections</t>
  </si>
  <si>
    <t>Construct a new section of trail along the Hurstbridge rail line from the Darebin Creek Trail north to Rosanna Station</t>
  </si>
  <si>
    <t>Construct a new section of trail along the Hurstbridge rail line north of Davies Street to Ruthven Street</t>
  </si>
  <si>
    <t>Construct a new section of trail along McNamara Street from Ruthven Street to Macleod Station</t>
  </si>
  <si>
    <t>Construct a new section of trail along the Hurstbridge rail line from Macleod Station to Elder Street</t>
  </si>
  <si>
    <t>Construct a new section of trail along the Hurstbridge rail line from Elder Street to the Plenty River Trail</t>
  </si>
  <si>
    <t>Construct a new section of trail along the Hurstbridge rail line from the Plenty River Trail to the Diamond Creek Trail</t>
  </si>
  <si>
    <t xml:space="preserve">Construct new section of trail from Harker Street to Hammersmith Court </t>
  </si>
  <si>
    <t>Construct a new section of trail on both sides of the Jacksons Creek Corridor from Childs Road south to Bulla Diggers Rest Road</t>
  </si>
  <si>
    <t>Construct a new section of trail Bulla Diggers Rest Road to Organ Pipes National Park</t>
  </si>
  <si>
    <t>Construct new section of trail connecting the Plenty River Trail near Lear Court, east along the aqueduct across Diamond Creek Road to the Diamond Creek Trail at Allendale Road.</t>
  </si>
  <si>
    <t>Construct new section of trail from Main Road Diamond Creek, along Eltham-Yarra Glen Road, Creek Road,  Eltham Road, Carters Lane and along Fryers Gully Drain while ensuring minimal impact to the Warrandyte - Kinglake Nature Conservation Reserve</t>
  </si>
  <si>
    <t>Extend the Merri Creek Trail from the south end of Merri Concourse to Premier Drive</t>
  </si>
  <si>
    <t>Extend the Merri Creek Trail from Premier Drive to Cooper Street</t>
  </si>
  <si>
    <t>Extend the Merri Creek Trail from Cooper Street Epping to Oherns Road</t>
  </si>
  <si>
    <t>Extend the Merri Creek Trail from Oherns Road to Craigieburn Road</t>
  </si>
  <si>
    <t>Extend the Merri Creek Trail from Craigieburn Road to Summerhill Road</t>
  </si>
  <si>
    <t>Extend the Merri Creek Trail from Summerhill Road to Donnybrook Road</t>
  </si>
  <si>
    <t>Extend the Merri Creek Trail from Donnybrook Road to the Northern End of Moxham Drive</t>
  </si>
  <si>
    <t>Complete section of trail from the Metropolitan Ring Road to existing section of trail south of Horne Street</t>
  </si>
  <si>
    <t>Provide and upgrade line-marking to ensure continuous white lines indicating trail flow/ direction in high traffic areas</t>
  </si>
  <si>
    <t>Provide a bridge crossing over the creek near the St Georges Road Bridge</t>
  </si>
  <si>
    <t>Relocate and widen trail from Merri Creek Primary School to Sumner Park outside of the flood zone</t>
  </si>
  <si>
    <t>Realign and widen trail north and south of Moreland Road</t>
  </si>
  <si>
    <t>Modify existing bridge alongside Moreland Road vehicular bridge to better serve pedestrians and cyclists</t>
  </si>
  <si>
    <t>Replace the Harding Street Bridge to cater for shared use</t>
  </si>
  <si>
    <t>Widen and reduce the steepness of the boardwalk section of trail from Edna Grove to Bell Street and create a new connection at Bell Street</t>
  </si>
  <si>
    <t>Widen and realign path outside of flood zone between Basil Nursing Home and Parker Reserve</t>
  </si>
  <si>
    <t>Provide wayfinding signage for Fawkner section of the Merri Creek (as per Moreland’s Merri Creek Action Plan)</t>
  </si>
  <si>
    <t>Investigate the feasibility of realigning the section of trail east of the Moonee Ponds Creek towards Jacana to reduce the incline</t>
  </si>
  <si>
    <t>Advocate for an upgrade to the existing overpass at overpass at Jacana Station with wayfinding signage to improve connectivity and continuity</t>
  </si>
  <si>
    <t>Upgrade section of trail between High Street and Dalton Road</t>
  </si>
  <si>
    <t>Create a trail head at northern end of the trail at Marker Road ensuring alignment is outside federal airport boundary to avoid land access issues</t>
  </si>
  <si>
    <t>Upgrade surface and width of trail from Marker Road to and around Willowbrook Reserve to regional trail standard</t>
  </si>
  <si>
    <t>Upgrade surface and width of trail from Willowbrook Reserve to Westmeadows Reserve to regional trail standard</t>
  </si>
  <si>
    <t>Construct a new section of trail from Marker Road to Living Legends/ Woodlands Historic Park</t>
  </si>
  <si>
    <t>Construct a new section of trail from Living Legends/ Woodlands Historic connecting to Somerton Road Woodlands entrance</t>
  </si>
  <si>
    <t>Resurface trail connection from Gladstone Park down the hill to main trail</t>
  </si>
  <si>
    <t>Construct a new section of trail from Union Street to the Hope Street pedestrian bridge. Consider a new bridge using former off ramp to Denzil Don Reserve to Victoria St as an alternative if required</t>
  </si>
  <si>
    <t>Improve access at the St Georges Rd/Merri Parade/ Charles St intersection to connect the Merri Creek Trail to the Northern Pipe Trail and create a direct access point to and from the trail with pedestrian and cyclist priority</t>
  </si>
  <si>
    <t>Construct a new section of trail from High Street (near the Melbourne Water Reservoirs) along the vacant pipe reserve to the Merri Creek Trail at Murray Road</t>
  </si>
  <si>
    <t xml:space="preserve"> </t>
  </si>
  <si>
    <t>Investigate the feasibility of realigning the Plenty River Trail to the eastern bank of the Plenty River between George Court and Para Road in order to avoid the steep grade on the west bank</t>
  </si>
  <si>
    <t>Construct a new section of trail along the creek through The Plenty Gorge Parklands to Bridge Inn Road</t>
  </si>
  <si>
    <t>Extend the trail from Bridge Inn Road north to Hazel Glen Drive</t>
  </si>
  <si>
    <t>Advocate for the construction of a new trail along Somerton Road from Jacksons Creek to the Merri Creek Trail</t>
  </si>
  <si>
    <t>Advocate to Department of Transport to construct a new section of trail from the Metropolitan Ring Road to Upfield Station</t>
  </si>
  <si>
    <t>Create a signalised pedestrian crossing over the road and train line at Boundary Road</t>
  </si>
  <si>
    <t>Consider long term feasibility of separated cycle path between Park Street and Tinning Street</t>
  </si>
  <si>
    <t>Create a signalised pedestrian crossing over the road and train line at Box Forest Road</t>
  </si>
  <si>
    <t>Create a signalised pedestrian crossing over the road and train line at O'Hea Street</t>
  </si>
  <si>
    <t>Create a signalised pedestrian crossing over the road and train line at Albion Street</t>
  </si>
  <si>
    <t>Create a signalised pedestrian crossing over the road and train line at Victoria Street</t>
  </si>
  <si>
    <t>Construct a new trail along the train line from Mernda Station to Laurel Street, Whittlesea. Ensure there is provision to horse riders on parts of the trail</t>
  </si>
  <si>
    <t>Construct a new section of trail from The Metropolitan Ring Road Trail and the Northern Pipe/ Cheddar Road Trail to the Darebin Creek Trail</t>
  </si>
  <si>
    <t>Construct a new section of trail from the Darebin Creek Trail to Childs Road</t>
  </si>
  <si>
    <t>Construct a new section of trail from Childs Road to McDonalds Road and the Plenty Valley Activity Centre</t>
  </si>
  <si>
    <t>Construct a new section of trail from Bridge Inn Road to the Yan Yean Reservoir and creating a connection to the Plenty River Trail</t>
  </si>
  <si>
    <t>Construct a bridge crossing over the Yarra River to Banksia Park at the eastern end of Yarra Street, Heidelberg</t>
  </si>
  <si>
    <t>Undertake improvements to the Main Yarra Trail at Banyule Flats</t>
  </si>
  <si>
    <t xml:space="preserve">Realign the section of trail at the Banksia Street underpass to create a gentler grade and wider trail surface </t>
  </si>
  <si>
    <t>Construct a bridge crossing over the Yarra River to Birrarrung Park</t>
  </si>
  <si>
    <t>Construct a bridge crossing over the Yarra River to Bulleen Park</t>
  </si>
  <si>
    <t>Investigate the provision of a pedestrian priority crossing at Dimboola Road and remove bicycle chicanes from either side. And improve the path intersection treatment</t>
  </si>
  <si>
    <t>Undertake a staged upgrade of the trail to a regional standard width with line marking</t>
  </si>
  <si>
    <t>Design is underway</t>
  </si>
  <si>
    <t>Surrounding developments</t>
  </si>
  <si>
    <t>Anticipated design included in the NEL Urban Design Strategy</t>
  </si>
  <si>
    <t>Northern Trails Strategy 2016, Draft Banyule Bicycle Strategy, Banyule Walking Strategy, Audit</t>
  </si>
  <si>
    <t>Upper Merri Creek Parklands 
If trail alignment goes through the nature conservation reserve planning assessments and approvals processes will be required to assess potential impacts on natural and cultural heritage values</t>
  </si>
  <si>
    <t>Proposed off-road walking cycling connection anticipated between Watsonia Station and Grimshaw Street part of NE Link,. See page 36 and 38 of the NEL Urban Design Strategy 2020.</t>
  </si>
  <si>
    <t>NE Link, funding ($100,000) provided to develop a concept design for a sealed bicycle path from Banksia Street to Burke Road North via The Boulevard to connect to the Eastern Freeway.  The concept design for these works is to include a grade separated crossing near the intersection of Banksia and Jika/Dora Streets. See agreement dated 30 October 2020.  Needs input from VicRoads/Department of Transport.</t>
  </si>
  <si>
    <t>NE Link, design to consider potential conflicts between playground and shared trail</t>
  </si>
  <si>
    <t>Jacksons Creek Regional Parkland Plan</t>
  </si>
  <si>
    <t>Partially complete</t>
  </si>
  <si>
    <t>All trail works in Banyule along the Darebin Creek anticipated to be complete in 2021.</t>
  </si>
  <si>
    <t>Under construction</t>
  </si>
  <si>
    <t>Opportunity to explore provide an alternative route through La Trobe University if trail is realigned to the east side of the Darebin Creek. LTU have indicated interest in exploring this in their Master Plan</t>
  </si>
  <si>
    <t>An existing section of trail exists alongside the Metropolitan Ring Road that connects the Darebin Creek Trail and the Metropolitan Ring Road Trail, therefore, this action item is a low priority</t>
  </si>
  <si>
    <t>Opportunity to implement when roundabout is signalised</t>
  </si>
  <si>
    <t xml:space="preserve">This is funded under the Northern Metropolitan Trails Program as the Diamond Creek Trail Extension - Stage 2 </t>
  </si>
  <si>
    <t>Audit, Nillumbik Walk, Cycle Ride on the Wild Side</t>
  </si>
  <si>
    <t>Nillumbik Open Space Strategy, Audit, Nillumbik Walk, Cycle Ride on the Wild Side</t>
  </si>
  <si>
    <t>Nillumbik Walk, Cycle Ride on the Wild Side</t>
  </si>
  <si>
    <t>AusNet to be consulted on signage within the electrical transmission easement</t>
  </si>
  <si>
    <t>Audit, Darebin</t>
  </si>
  <si>
    <t xml:space="preserve">Darebin City Council have commenced plans for a new path network in Bundoora Park. </t>
  </si>
  <si>
    <t>Private land ownership</t>
  </si>
  <si>
    <t>NE Link, land acquisition</t>
  </si>
  <si>
    <t>Concept design and community consultation underway</t>
  </si>
  <si>
    <t>NE Link, NELP funding has been provided by design and construction of Watsonia Town Square including trail alignment</t>
  </si>
  <si>
    <t>Upgrade to existing footbridge across railway line at Watsonia station not currently included in the NE Link</t>
  </si>
  <si>
    <t>Concept design underway. Design and construction of trail between Frensham Rd and Plenty River Trail  funded</t>
  </si>
  <si>
    <t>NELP funding ($3M) provided in 2023 for planning, design and construction for the trail between Frensham Road Watsonia to the Plenty River Trail Yallambie. Transmission easement is partially in private ownership so acquisition or deviation of the trail required</t>
  </si>
  <si>
    <t xml:space="preserve">Northern Trails Strategy 2016, Audit, community Consultation, Edgars Creek Conservation and Development Plan </t>
  </si>
  <si>
    <t>To be installed by Developer</t>
  </si>
  <si>
    <t xml:space="preserve">Audit, community Consultation, Edgars Creek Conservation and Development Plan </t>
  </si>
  <si>
    <t>Funded as Edgars Creek Trail - Stage 1 under the Northern Metropolitan Trails Program</t>
  </si>
  <si>
    <t>Upper Merri Creek Parklands</t>
  </si>
  <si>
    <t>Need to identify who the path asset belongs to</t>
  </si>
  <si>
    <t>Audit, Northern Trails Strategy 2016</t>
  </si>
  <si>
    <t>Location of Smartbus routes and bus stops to be considered</t>
  </si>
  <si>
    <t>Functional design is completed</t>
  </si>
  <si>
    <t>Discussions underway between Banyule City Council, VicTrack and Metro Trains.</t>
  </si>
  <si>
    <t>Northern Trails Strategy 2017</t>
  </si>
  <si>
    <t>To be installed as part of the 2021/22 Capital Works Program</t>
  </si>
  <si>
    <t>Feasibility study underway</t>
  </si>
  <si>
    <t>Feasibility study covers section of trail between Greensborough and Montmorency.
DOT is currently funded to deliver early works for Greensborough-Eltham section, including Plenty River to Diamond Creek Trail</t>
  </si>
  <si>
    <t>Desktop analysis</t>
  </si>
  <si>
    <t>Parkland Plan is underway</t>
  </si>
  <si>
    <t>Jacksons Creek Regional Parkland Plan, Alignment feasibility required to assess land acquisition, proposed development, topography, cultural heritage and ecological studies.
May be partially covered by the PSP.</t>
  </si>
  <si>
    <t>Alignment feasibility required to assess land acquisition, proposed development, topography, cultural heritage and ecological studies.</t>
  </si>
  <si>
    <t>This is a high priority trail for Nillumbik City Council</t>
  </si>
  <si>
    <t>Nillumbik Open Space Strategy, Audit, community Consultation</t>
  </si>
  <si>
    <t>Only a small section of trail is anticipated to run through Banyule (St Helena)
This is a high priority trail for Nillumbik City Council</t>
  </si>
  <si>
    <t>Upper Merri Creek Parklands Plan
If trail alignment goes through the nature conservation reserve planning assessments and approvals processes will be required to assess potential impacts on natural and cultural heritage values</t>
  </si>
  <si>
    <t>Upper Merri Creek Parklands Plan, Potential future development</t>
  </si>
  <si>
    <t>Northern Trails Strategy 2016, Hume Bicycle Network Plan, Hume Walking and Cycling Strategy, Hume Open Space Strategy, Whittlesea Open Space Strategy, PSP</t>
  </si>
  <si>
    <t>Land ownership and topography and space limitations</t>
  </si>
  <si>
    <t>City of Moreland has a proposal to deliver this bridge near St Georges Rd</t>
  </si>
  <si>
    <t>Due to constrained environment, feasibility and alignment options to be explored</t>
  </si>
  <si>
    <t>Currently out for consultation as part of the Fawkner Merri Parklands</t>
  </si>
  <si>
    <t>Branding and signage for wayfinding and interpretation funded through Upper Merri Creek Parklands Planning</t>
  </si>
  <si>
    <t>Feasibility study to be undertaken, West Trails Strategy</t>
  </si>
  <si>
    <t>Consider plans by Australian Rail Track Corporation to rebuild the Melbourne – Sydney – Brisbane Freight line to support trains with “double stacked” shipping containers</t>
  </si>
  <si>
    <t>land ownership</t>
  </si>
  <si>
    <t xml:space="preserve">Cultural Heritage and conservation considerations/constraints with regards to path surfacing and alignment. </t>
  </si>
  <si>
    <t>Trails to Woodlands Park are proposed as regional trail standard - trails within the park fall outside the scope of this report</t>
  </si>
  <si>
    <t>Further audit required. Mix of M80 signage and HCC wayfinding installed in 2017</t>
  </si>
  <si>
    <t>Moreland feedback</t>
  </si>
  <si>
    <t xml:space="preserve">DOT has intent to upgrade roundabouts along Dalton Rd, which will assist path in this section. </t>
  </si>
  <si>
    <t>Due to complexity of action item,  feasibility and alignment options to be explored</t>
  </si>
  <si>
    <t>Indicative trail alignment only. Refer to Parks Victoria's Plenty Gorge River Trail design</t>
  </si>
  <si>
    <t>Initial review of trail undertaken</t>
  </si>
  <si>
    <t>CHMP and planning permits are required</t>
  </si>
  <si>
    <t>Draft Banyule Bicycle Strategy, Banyule Public Open Space Plan, Banyule Public Open Space Plan, Audit</t>
  </si>
  <si>
    <t>This is very high priority to Banyule City Council</t>
  </si>
  <si>
    <t>Consider realigning trail to the opposite side of the river south of the Hurstbridge Rail like if feasible. Note that this would require land acquisition.</t>
  </si>
  <si>
    <t xml:space="preserve">Indicative trail alignment only. Refer to Parks Victoria's Plenty Gorge River Trail design. 
Opportunity to align with Melbourne Water's exploration of recreation opportunities at Yan Yean. </t>
  </si>
  <si>
    <t>Somerton Road duplication.
Bulla reserve might prefer a new Consideer alternative alignment at Bulla via Green St and the Moonee Ponds Creek Trail instead of the potential Bulla Bypass</t>
  </si>
  <si>
    <t>DOT is funded to deliver this</t>
  </si>
  <si>
    <t>Not currently supported as a priority for DoT.
Some sections existing, planned or designed: Maygar Grey Box Woodland Reserve section, including a section connecting to Northcorp Blvd is being designed as part of a subdivision application</t>
  </si>
  <si>
    <t>Level Crossing Removal Project   Merlynston Car Park for Commuters</t>
  </si>
  <si>
    <t>Currently being designed as a shared zone</t>
  </si>
  <si>
    <t>Consultation to occur to gage public support for shared zone</t>
  </si>
  <si>
    <t>Designed/ partially constructed</t>
  </si>
  <si>
    <t>DoT feedback</t>
  </si>
  <si>
    <t xml:space="preserve">Due to public sentiment, possibility to consider trail alignment along Plenty Road for parts of the trail as an alternative. </t>
  </si>
  <si>
    <t>Northern Trails Strategy 2016, Whittlesea City Council</t>
  </si>
  <si>
    <t>Funded</t>
  </si>
  <si>
    <t>Funded under the Northern Metropolitan Trails Program</t>
  </si>
  <si>
    <t>Whittlesea City Council</t>
  </si>
  <si>
    <t>Melbourne Water looking to align with councils on exploration of recreation opportunities at Yan Yean.</t>
  </si>
  <si>
    <t>Northern Trails Strategy 2016, Draft Banyule Bicycle Strategy</t>
  </si>
  <si>
    <t>NE Link. Manningham City Council have received funding to deliver this. Ongoing management of asset to be considered</t>
  </si>
  <si>
    <t>Northern Trails Strategy 2016, Draft Banyule Bicycle Strategy, Banyule Walking Strategy, Banyule Public Open Space Plan, Audit</t>
  </si>
  <si>
    <t>NE Link, concerns and issues around CHMP  and community support to be further resolved</t>
  </si>
  <si>
    <t>Draft Banyule Bicycle Strategy, Banyule Walking Strategy, Audit</t>
  </si>
  <si>
    <t>NE Link, concept design (funded by NELP) to be developed for a sealed bicycle path from Banksia Street to Burke Road North via The Boulevard to connect to the Eastern Freeway including a grade separated crossing near the intersection of Banksia and Jika/Dora Streets</t>
  </si>
  <si>
    <t>This will need approval from Parks Victoria and the Department of Transport</t>
  </si>
  <si>
    <t>Draft Banyule Bicycle Strategy, Audit</t>
  </si>
  <si>
    <t>Trail alignment to be developed in consultation with relevant stakeholders with an emphasis on environmental and cultural heritage protection</t>
  </si>
  <si>
    <t>Coordinate with Manningham Council and the Eastern Regional Trails Strategy.</t>
  </si>
  <si>
    <t>This section of trail is part of the Strategic Cycling Corridor (SCC)
Coordinate with Manningham Council and the Eastern Regional Trails Strategy. Ongoing management of asset to be considered</t>
  </si>
  <si>
    <t>Not feasible until safe crossing point at Somerton Road is constructed as part of Somerton Road duplication Melbourne Water not previously supportive of additional connections adjacent to the reservoir.
Greenvale Reservoir Park has been closed to public for approximately two years due to lack of funding to improve basic facilities (ParksVic).</t>
  </si>
  <si>
    <t>To be undertaken as part of future Somerton Road duplication</t>
  </si>
  <si>
    <t>Department of Transport, ParksVic, VicRoads</t>
  </si>
  <si>
    <t>Melbourne Water, Salesians College, Private landowners</t>
  </si>
  <si>
    <t>Melbourne Water, VicRoads, Major Road Projects</t>
  </si>
  <si>
    <t>Melbourne Water, Salesian College Sunbury</t>
  </si>
  <si>
    <t>Melbourne Water, VicRoads, La Trobe University</t>
  </si>
  <si>
    <t>AusNet</t>
  </si>
  <si>
    <t>Private landowners</t>
  </si>
  <si>
    <t>VicRoads, Merri Creek Management Committee</t>
  </si>
  <si>
    <t>Hurstbridge Rail Trail</t>
  </si>
  <si>
    <t>VicTrack</t>
  </si>
  <si>
    <t>Jacksons Creek Trail</t>
  </si>
  <si>
    <t>Greater Western Water</t>
  </si>
  <si>
    <t>Greater Western Water, Parks Vic, Melbourne Water, Wurundjeri Land Council, DELWP</t>
  </si>
  <si>
    <t>Melbourne Water, ParksVic, Developers</t>
  </si>
  <si>
    <t>Darebin, Moreland</t>
  </si>
  <si>
    <t>Banyule, Hume, Moreland, Nillumbik, Whittlesea</t>
  </si>
  <si>
    <t>Hume, Moreland</t>
  </si>
  <si>
    <t>VicRoads, VicTrack</t>
  </si>
  <si>
    <t>Melbourne Water, Parks Vic, Crown land, Melbourne Airport</t>
  </si>
  <si>
    <t>Melbourne Water, ParksVic, Private landowners</t>
  </si>
  <si>
    <t>Melbourne Water, ParksVic, The City of Moonee Valley, VicRoads</t>
  </si>
  <si>
    <t>Melbourne Water, The City of Moonee Valley</t>
  </si>
  <si>
    <t>Melbourne Water, The City of Moonee Valley, VicRoads</t>
  </si>
  <si>
    <t>VicRoads, VicTrack, Melbourne Water</t>
  </si>
  <si>
    <t>Banyule, Nillumbik, Whittlesea</t>
  </si>
  <si>
    <t>Somerton Road Trail</t>
  </si>
  <si>
    <t>Major Road Projects Victoria, ParksVic</t>
  </si>
  <si>
    <t>VicRoads, VicTrack, Department of Transport</t>
  </si>
  <si>
    <t>VicRoads, VicTrack, Developer</t>
  </si>
  <si>
    <t>Yan Yean Pipe Track</t>
  </si>
  <si>
    <t>Melbourne Water, ParksVic, Manningham City Council</t>
  </si>
  <si>
    <t>City of Manningham, City of Boroondara, Melbourne Water, ParksVic</t>
  </si>
  <si>
    <t>City of Manningham, Melbourne Water, ParksVic</t>
  </si>
  <si>
    <t>VicRoads, Major Road Projects Victoria</t>
  </si>
  <si>
    <t>Cumulative NPV, positive from FY2036 onwards</t>
  </si>
  <si>
    <t>Avereage recreational time cycled</t>
  </si>
  <si>
    <t>Average commuting time cycled</t>
  </si>
  <si>
    <t>Average commuting time walking</t>
  </si>
  <si>
    <t>Average recreational time walking</t>
  </si>
  <si>
    <t>Project case (23%) - average trail use per day if 23% improvements made</t>
  </si>
  <si>
    <t>Leisure: Kilometres travelled walking and cycling</t>
  </si>
  <si>
    <t>Leisure: Hours spent walking and cycling</t>
  </si>
  <si>
    <t>Commuting: Kilometres travelled walking and cycling</t>
  </si>
  <si>
    <t>Commuting: Hours spent walking and cycling</t>
  </si>
  <si>
    <t>Total: Kilometres travelled walking and cycling</t>
  </si>
  <si>
    <t>Total: Hours spent walking and cycling</t>
  </si>
  <si>
    <t>Total</t>
  </si>
  <si>
    <t>Commute</t>
  </si>
  <si>
    <t>Leisure</t>
  </si>
  <si>
    <t>Average commuting distance cycled</t>
  </si>
  <si>
    <t>Average commuting distance walked</t>
  </si>
  <si>
    <t>Average lesiure distance cycled</t>
  </si>
  <si>
    <t>Average leisure distance walked</t>
  </si>
  <si>
    <t>Commuter cycling</t>
  </si>
  <si>
    <t>Commuter walking</t>
  </si>
  <si>
    <t>Recreational walking</t>
  </si>
  <si>
    <t>Recreational cycling</t>
  </si>
  <si>
    <t>Leisure walking or comparitive exercise</t>
  </si>
  <si>
    <t>Leisure cycling</t>
  </si>
  <si>
    <t>Commuting walking or comparitive exercise</t>
  </si>
  <si>
    <t>Commuting cycling</t>
  </si>
  <si>
    <t>TRAIL IMPROVEMENT PROJECTS</t>
  </si>
  <si>
    <t>PROJECT BASE INFORMATION</t>
  </si>
  <si>
    <t>FILTERS</t>
  </si>
  <si>
    <t>Northern Region LGA</t>
  </si>
  <si>
    <t>Project lead and/or responsibility</t>
  </si>
  <si>
    <t>Council role</t>
  </si>
  <si>
    <t>Indicative cost</t>
  </si>
  <si>
    <t>Project Manager</t>
  </si>
  <si>
    <t>Developer</t>
  </si>
  <si>
    <t>Advocate</t>
  </si>
  <si>
    <t>Project Manager and/or
advocate</t>
  </si>
  <si>
    <t>Major Road Projects Victoria</t>
  </si>
  <si>
    <t>Whittlesea and Merri Creek Management Committee</t>
  </si>
  <si>
    <t>Support</t>
  </si>
  <si>
    <t>Project support</t>
  </si>
  <si>
    <t>Parks Vic</t>
  </si>
  <si>
    <t>Advocate and Design</t>
  </si>
  <si>
    <t>Manningham City Council</t>
  </si>
  <si>
    <t>Commuter vs recreation cycling and walking, as proportion of total trips</t>
  </si>
  <si>
    <t>Uplift due to trails (based on survey data, taking only major three interventions)</t>
  </si>
  <si>
    <t>Total (per year) on existing trails due to uplift</t>
  </si>
  <si>
    <t>Trail use scale up</t>
  </si>
  <si>
    <t>Av walking pace</t>
  </si>
  <si>
    <t>Av cycling pace</t>
  </si>
  <si>
    <t>ABS</t>
  </si>
  <si>
    <t>Used Q1 2013 to Q1 2021 as Q2 2021 not available at time of modelling.</t>
  </si>
  <si>
    <t>Interpreting results</t>
  </si>
  <si>
    <t>Estimation method</t>
  </si>
  <si>
    <t>Decision rule</t>
  </si>
  <si>
    <t>Net Present Value (NPV)</t>
  </si>
  <si>
    <t>A number generated by deducting the present value of the stream of costs from the present value of the stream of benefits.</t>
  </si>
  <si>
    <t>Accept options with a positive NPV</t>
  </si>
  <si>
    <t>Reject options with a negative NPV</t>
  </si>
  <si>
    <t>The greater the NPV the better</t>
  </si>
  <si>
    <t>Benefit Cost Ratio (BCR)</t>
  </si>
  <si>
    <t xml:space="preserve">Ratio of discounted present-day benefits over discounted present-day costs. </t>
  </si>
  <si>
    <t>Accept options with a BCR &gt; 1</t>
  </si>
  <si>
    <t>Reject options with a BCR &lt; 1</t>
  </si>
  <si>
    <t>The greater the BCR the better.</t>
  </si>
  <si>
    <t xml:space="preserve">This cell should  indicate the first year of the analysis period --&gt; it is the year the project case begins (i.e. construction starts). </t>
  </si>
  <si>
    <t>Northern Regional Trails CBA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</si>
</sst>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000"/>
    <numFmt numFmtId="171" formatCode="[$-C09]dd\-mmm\-yy;@"/>
    <numFmt numFmtId="172" formatCode="#,##0.0000"/>
    <numFmt numFmtId="173" formatCode="&quot;$&quot;#,##0"/>
  </numFmts>
  <fonts count="56" x14ac:knownFonts="1">
    <font>
      <sz val="8"/>
      <color theme="1"/>
      <name val="Calibri"/>
      <family val="2"/>
      <scheme val="minor"/>
    </font>
    <font>
      <sz val="11"/>
      <color theme="1"/>
      <name val="Calibri"/>
      <family val="2"/>
      <scheme val="minor"/>
    </font>
    <font>
      <sz val="11"/>
      <color rgb="FF3F3F76"/>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1"/>
      <name val="Calibri"/>
      <family val="2"/>
      <scheme val="minor"/>
    </font>
    <font>
      <b/>
      <sz val="9"/>
      <color theme="1"/>
      <name val="Calibri Light"/>
      <family val="2"/>
    </font>
    <font>
      <sz val="9"/>
      <color theme="1"/>
      <name val="Calibri Light"/>
      <family val="2"/>
    </font>
    <font>
      <sz val="9"/>
      <name val="Calibri Light"/>
      <family val="2"/>
    </font>
    <font>
      <u/>
      <sz val="8"/>
      <name val="Calibri Light"/>
      <family val="2"/>
    </font>
    <font>
      <sz val="9"/>
      <color rgb="FF000000"/>
      <name val="Calibri Light"/>
      <family val="2"/>
    </font>
    <font>
      <sz val="11"/>
      <color theme="0" tint="-0.14999847407452621"/>
      <name val="Calibri"/>
      <family val="2"/>
      <scheme val="minor"/>
    </font>
    <font>
      <b/>
      <sz val="12"/>
      <color rgb="FF80BC00"/>
      <name val="Calibri"/>
      <family val="2"/>
      <scheme val="major"/>
    </font>
    <font>
      <b/>
      <sz val="24"/>
      <color rgb="FF80BC00"/>
      <name val="Calibri"/>
      <family val="2"/>
      <scheme val="major"/>
    </font>
    <font>
      <b/>
      <sz val="9"/>
      <color theme="1"/>
      <name val="Calibri"/>
      <family val="2"/>
      <scheme val="major"/>
    </font>
    <font>
      <sz val="9"/>
      <color theme="1"/>
      <name val="Calibri"/>
      <family val="2"/>
      <scheme val="major"/>
    </font>
    <font>
      <b/>
      <sz val="8"/>
      <color theme="1"/>
      <name val="Arial"/>
      <family val="2"/>
    </font>
    <font>
      <b/>
      <sz val="8"/>
      <color theme="1"/>
      <name val="Calibri"/>
      <family val="2"/>
      <scheme val="major"/>
    </font>
    <font>
      <sz val="8"/>
      <color theme="0" tint="-0.34998626667073579"/>
      <name val="Calibri"/>
      <family val="2"/>
      <scheme val="major"/>
    </font>
    <font>
      <sz val="8"/>
      <color theme="1"/>
      <name val="Calibri"/>
      <family val="2"/>
      <scheme val="major"/>
    </font>
    <font>
      <b/>
      <sz val="8"/>
      <color theme="0"/>
      <name val="Calibri"/>
      <family val="2"/>
      <scheme val="major"/>
    </font>
    <font>
      <sz val="8"/>
      <color theme="1"/>
      <name val="Calibri"/>
      <family val="2"/>
      <scheme val="minor"/>
    </font>
    <font>
      <u/>
      <sz val="10"/>
      <color indexed="12"/>
      <name val="Arial"/>
      <family val="2"/>
    </font>
    <font>
      <b/>
      <sz val="8"/>
      <color theme="1"/>
      <name val="Calibri"/>
      <family val="2"/>
      <scheme val="minor"/>
    </font>
    <font>
      <b/>
      <sz val="11"/>
      <color theme="0" tint="-0.14999847407452621"/>
      <name val="Calibri"/>
      <family val="2"/>
      <scheme val="minor"/>
    </font>
    <font>
      <b/>
      <sz val="12"/>
      <name val="Calibri"/>
      <family val="2"/>
      <scheme val="minor"/>
    </font>
    <font>
      <sz val="8"/>
      <name val="Calibri"/>
      <family val="2"/>
      <scheme val="minor"/>
    </font>
    <font>
      <i/>
      <sz val="11"/>
      <name val="Calibri"/>
      <family val="2"/>
      <scheme val="minor"/>
    </font>
    <font>
      <sz val="8"/>
      <color rgb="FFFF0000"/>
      <name val="Calibri"/>
      <family val="2"/>
      <scheme val="major"/>
    </font>
    <font>
      <b/>
      <sz val="9"/>
      <color theme="1"/>
      <name val="Arial"/>
      <family val="2"/>
    </font>
    <font>
      <i/>
      <sz val="9"/>
      <color theme="1"/>
      <name val="Arial"/>
      <family val="2"/>
    </font>
    <font>
      <sz val="9"/>
      <color theme="1"/>
      <name val="Arial"/>
      <family val="2"/>
    </font>
    <font>
      <sz val="9"/>
      <color rgb="FF000000"/>
      <name val="Arial"/>
      <family val="2"/>
    </font>
    <font>
      <sz val="9"/>
      <name val="Arial"/>
      <family val="2"/>
    </font>
    <font>
      <u/>
      <sz val="8"/>
      <color theme="10"/>
      <name val="Calibri"/>
      <family val="2"/>
      <scheme val="minor"/>
    </font>
    <font>
      <b/>
      <sz val="8"/>
      <name val="Calibri"/>
      <family val="2"/>
      <scheme val="major"/>
    </font>
    <font>
      <b/>
      <sz val="8"/>
      <color rgb="FFFF0000"/>
      <name val="Calibri"/>
      <family val="2"/>
      <scheme val="minor"/>
    </font>
    <font>
      <sz val="10"/>
      <color theme="1"/>
      <name val="Calibri"/>
      <family val="2"/>
    </font>
    <font>
      <sz val="10"/>
      <name val="Calibri"/>
      <family val="2"/>
    </font>
    <font>
      <b/>
      <sz val="8"/>
      <color rgb="FFFF0000"/>
      <name val="Calibri"/>
      <family val="2"/>
      <scheme val="major"/>
    </font>
    <font>
      <b/>
      <sz val="10"/>
      <color rgb="FFFFFFFF"/>
      <name val="Calibri Light"/>
      <family val="2"/>
    </font>
    <font>
      <sz val="10"/>
      <color theme="1"/>
      <name val="Calibri Light"/>
      <family val="2"/>
    </font>
    <font>
      <b/>
      <sz val="10"/>
      <color theme="1"/>
      <name val="Calibri Light"/>
      <family val="2"/>
    </font>
  </fonts>
  <fills count="44">
    <fill>
      <patternFill patternType="none"/>
    </fill>
    <fill>
      <patternFill patternType="gray125"/>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rgb="FFBFDDE7"/>
        <bgColor indexed="64"/>
      </patternFill>
    </fill>
    <fill>
      <patternFill patternType="solid">
        <fgColor rgb="FFD0CECE"/>
        <bgColor indexed="64"/>
      </patternFill>
    </fill>
    <fill>
      <patternFill patternType="solid">
        <fgColor rgb="FFFFF2D1"/>
        <bgColor indexed="64"/>
      </patternFill>
    </fill>
    <fill>
      <patternFill patternType="solid">
        <fgColor rgb="FFE2EFDA"/>
        <bgColor indexed="64"/>
      </patternFill>
    </fill>
    <fill>
      <patternFill patternType="solid">
        <fgColor rgb="FF80BC00"/>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rgb="FFFFFF00"/>
        <bgColor indexed="64"/>
      </patternFill>
    </fill>
    <fill>
      <patternFill patternType="solid">
        <fgColor theme="0" tint="-0.249977111117893"/>
        <bgColor indexed="64"/>
      </patternFill>
    </fill>
    <fill>
      <patternFill patternType="solid">
        <fgColor rgb="FF5C5C5C"/>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right/>
      <top/>
      <bottom style="medium">
        <color theme="5" tint="-0.24994659260841701"/>
      </bottom>
      <diagonal/>
    </border>
    <border>
      <left/>
      <right/>
      <top/>
      <bottom style="medium">
        <color rgb="FF80BC00"/>
      </bottom>
      <diagonal/>
    </border>
    <border>
      <left style="dotted">
        <color rgb="FF80BC00"/>
      </left>
      <right style="dotted">
        <color rgb="FF80BC00"/>
      </right>
      <top style="dotted">
        <color rgb="FF80BC00"/>
      </top>
      <bottom style="dotted">
        <color rgb="FF80BC00"/>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bottom style="dotted">
        <color rgb="FF80BC00"/>
      </bottom>
      <diagonal/>
    </border>
    <border>
      <left style="thin">
        <color auto="1"/>
      </left>
      <right/>
      <top/>
      <bottom/>
      <diagonal/>
    </border>
    <border>
      <left/>
      <right style="hair">
        <color auto="1"/>
      </right>
      <top/>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hair">
        <color auto="1"/>
      </right>
      <top/>
      <bottom style="thin">
        <color indexed="64"/>
      </bottom>
      <diagonal/>
    </border>
    <border>
      <left style="medium">
        <color rgb="FF595959"/>
      </left>
      <right style="medium">
        <color rgb="FF595959"/>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medium">
        <color rgb="FF595959"/>
      </right>
      <top style="medium">
        <color rgb="FF595959"/>
      </top>
      <bottom/>
      <diagonal/>
    </border>
    <border>
      <left/>
      <right style="medium">
        <color rgb="FF595959"/>
      </right>
      <top/>
      <bottom/>
      <diagonal/>
    </border>
    <border>
      <left style="medium">
        <color rgb="FF595959"/>
      </left>
      <right style="medium">
        <color rgb="FF595959"/>
      </right>
      <top/>
      <bottom/>
      <diagonal/>
    </border>
    <border>
      <left style="medium">
        <color rgb="FF595959"/>
      </left>
      <right style="medium">
        <color rgb="FF595959"/>
      </right>
      <top/>
      <bottom style="medium">
        <color rgb="FF595959"/>
      </bottom>
      <diagonal/>
    </border>
    <border>
      <left/>
      <right style="medium">
        <color rgb="FF595959"/>
      </right>
      <top/>
      <bottom style="medium">
        <color rgb="FF595959"/>
      </bottom>
      <diagonal/>
    </border>
  </borders>
  <cellStyleXfs count="68">
    <xf numFmtId="3" fontId="0" fillId="0" borderId="0"/>
    <xf numFmtId="0" fontId="2" fillId="2" borderId="1" applyNumberFormat="0" applyAlignment="0" applyProtection="0"/>
    <xf numFmtId="168" fontId="30" fillId="0" borderId="13"/>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6" borderId="1"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33" borderId="0" applyNumberFormat="0" applyBorder="0" applyProtection="0">
      <alignment horizontal="center" vertical="center"/>
    </xf>
    <xf numFmtId="0" fontId="18" fillId="0" borderId="0" applyNumberFormat="0" applyFill="0" applyBorder="0" applyAlignment="0" applyProtection="0"/>
    <xf numFmtId="0" fontId="18" fillId="0" borderId="0" applyNumberFormat="0" applyFill="0" applyBorder="0" applyAlignment="0" applyProtection="0"/>
    <xf numFmtId="0" fontId="22" fillId="33" borderId="0" applyNumberFormat="0" applyBorder="0" applyAlignment="0" applyProtection="0"/>
    <xf numFmtId="9" fontId="20" fillId="0" borderId="0" applyFill="0" applyBorder="0" applyAlignment="0" applyProtection="0"/>
    <xf numFmtId="168" fontId="34" fillId="0" borderId="14"/>
    <xf numFmtId="0" fontId="20" fillId="34" borderId="11" applyNumberFormat="0" applyAlignment="0" applyProtection="0"/>
    <xf numFmtId="0" fontId="20" fillId="35" borderId="10" applyNumberFormat="0" applyAlignment="0" applyProtection="0"/>
    <xf numFmtId="0" fontId="23" fillId="36" borderId="11" applyNumberFormat="0" applyAlignment="0" applyProtection="0"/>
    <xf numFmtId="0" fontId="20" fillId="37" borderId="11" applyNumberFormat="0" applyAlignment="0" applyProtection="0"/>
    <xf numFmtId="0" fontId="29" fillId="0" borderId="12"/>
    <xf numFmtId="14" fontId="34" fillId="0" borderId="14"/>
    <xf numFmtId="169" fontId="34" fillId="0" borderId="14"/>
    <xf numFmtId="49" fontId="34" fillId="0" borderId="14">
      <alignment horizontal="right"/>
    </xf>
    <xf numFmtId="168" fontId="31" fillId="0" borderId="0"/>
    <xf numFmtId="14" fontId="34" fillId="39" borderId="14"/>
    <xf numFmtId="0" fontId="35" fillId="0" borderId="0" applyNumberFormat="0" applyFill="0" applyBorder="0" applyAlignment="0" applyProtection="0">
      <alignment vertical="top"/>
      <protection locked="0"/>
    </xf>
    <xf numFmtId="3" fontId="34" fillId="39" borderId="14"/>
    <xf numFmtId="169" fontId="34" fillId="40" borderId="14"/>
    <xf numFmtId="3" fontId="47" fillId="0" borderId="0" applyNumberFormat="0" applyFill="0" applyBorder="0" applyAlignment="0" applyProtection="0"/>
  </cellStyleXfs>
  <cellXfs count="117">
    <xf numFmtId="3" fontId="0" fillId="0" borderId="0" xfId="0"/>
    <xf numFmtId="168" fontId="30" fillId="0" borderId="13" xfId="2"/>
    <xf numFmtId="3" fontId="0" fillId="0" borderId="0" xfId="0" applyAlignment="1">
      <alignment horizontal="center"/>
    </xf>
    <xf numFmtId="9" fontId="24" fillId="0" borderId="0" xfId="0" applyNumberFormat="1" applyFont="1"/>
    <xf numFmtId="3" fontId="19" fillId="0" borderId="0" xfId="0" applyFont="1"/>
    <xf numFmtId="3" fontId="25" fillId="0" borderId="0" xfId="0" applyFont="1" applyAlignment="1">
      <alignment vertical="center"/>
    </xf>
    <xf numFmtId="3" fontId="26" fillId="0" borderId="0" xfId="0" applyFont="1" applyAlignment="1">
      <alignment vertical="center"/>
    </xf>
    <xf numFmtId="3" fontId="27" fillId="0" borderId="0" xfId="0" applyFont="1"/>
    <xf numFmtId="3" fontId="28" fillId="0" borderId="0" xfId="0" applyFont="1"/>
    <xf numFmtId="3" fontId="30" fillId="0" borderId="13" xfId="0" applyFont="1" applyBorder="1"/>
    <xf numFmtId="3" fontId="31" fillId="0" borderId="0" xfId="0" applyFont="1"/>
    <xf numFmtId="3" fontId="31" fillId="0" borderId="0" xfId="0" applyFont="1" applyAlignment="1">
      <alignment horizontal="center"/>
    </xf>
    <xf numFmtId="3" fontId="32" fillId="0" borderId="0" xfId="0" applyFont="1"/>
    <xf numFmtId="3" fontId="33" fillId="38" borderId="0" xfId="0" applyFont="1" applyFill="1"/>
    <xf numFmtId="169" fontId="34" fillId="0" borderId="14" xfId="60"/>
    <xf numFmtId="14" fontId="34" fillId="0" borderId="14" xfId="59"/>
    <xf numFmtId="49" fontId="34" fillId="0" borderId="14" xfId="61">
      <alignment horizontal="right"/>
    </xf>
    <xf numFmtId="168" fontId="31" fillId="0" borderId="0" xfId="62"/>
    <xf numFmtId="170" fontId="32" fillId="0" borderId="0" xfId="0" applyNumberFormat="1" applyFont="1"/>
    <xf numFmtId="0" fontId="34" fillId="0" borderId="14" xfId="53" applyNumberFormat="1"/>
    <xf numFmtId="4" fontId="34" fillId="0" borderId="14" xfId="53" applyNumberFormat="1"/>
    <xf numFmtId="168" fontId="34" fillId="39" borderId="14" xfId="65" applyNumberFormat="1"/>
    <xf numFmtId="3" fontId="34" fillId="39" borderId="14" xfId="65"/>
    <xf numFmtId="3" fontId="36" fillId="0" borderId="0" xfId="0" applyFont="1" applyAlignment="1">
      <alignment horizontal="center"/>
    </xf>
    <xf numFmtId="3" fontId="36" fillId="0" borderId="0" xfId="0" applyFont="1"/>
    <xf numFmtId="3" fontId="34" fillId="0" borderId="14" xfId="53" applyNumberFormat="1"/>
    <xf numFmtId="14" fontId="34" fillId="39" borderId="14" xfId="63"/>
    <xf numFmtId="4" fontId="34" fillId="39" borderId="14" xfId="65" applyNumberFormat="1"/>
    <xf numFmtId="171" fontId="0" fillId="0" borderId="0" xfId="0" applyNumberFormat="1"/>
    <xf numFmtId="3" fontId="0" fillId="0" borderId="0" xfId="0" applyAlignment="1">
      <alignment horizontal="left"/>
    </xf>
    <xf numFmtId="171" fontId="0" fillId="0" borderId="0" xfId="0" applyNumberFormat="1" applyAlignment="1">
      <alignment horizontal="left"/>
    </xf>
    <xf numFmtId="1" fontId="34" fillId="39" borderId="14" xfId="65" applyNumberFormat="1"/>
    <xf numFmtId="3" fontId="0" fillId="41" borderId="0" xfId="0" applyFill="1"/>
    <xf numFmtId="9" fontId="37" fillId="0" borderId="0" xfId="0" applyNumberFormat="1" applyFont="1"/>
    <xf numFmtId="3" fontId="36" fillId="39" borderId="14" xfId="65" applyFont="1"/>
    <xf numFmtId="3" fontId="38" fillId="0" borderId="0" xfId="0" applyFont="1" applyAlignment="1">
      <alignment horizontal="center"/>
    </xf>
    <xf numFmtId="3" fontId="39" fillId="0" borderId="0" xfId="0" applyFont="1"/>
    <xf numFmtId="3" fontId="40" fillId="0" borderId="0" xfId="0" applyFont="1" applyAlignment="1">
      <alignment horizontal="center"/>
    </xf>
    <xf numFmtId="171" fontId="39" fillId="0" borderId="0" xfId="0" applyNumberFormat="1" applyFont="1" applyAlignment="1">
      <alignment horizontal="center"/>
    </xf>
    <xf numFmtId="3" fontId="41" fillId="0" borderId="0" xfId="0" applyFont="1"/>
    <xf numFmtId="169" fontId="34" fillId="40" borderId="14" xfId="66"/>
    <xf numFmtId="3" fontId="42" fillId="0" borderId="15" xfId="0" applyFont="1" applyBorder="1" applyAlignment="1">
      <alignment vertical="center" wrapText="1"/>
    </xf>
    <xf numFmtId="3" fontId="42" fillId="0" borderId="16" xfId="0" applyFont="1" applyBorder="1" applyAlignment="1">
      <alignment vertical="center" wrapText="1"/>
    </xf>
    <xf numFmtId="3" fontId="42" fillId="0" borderId="17" xfId="0" applyFont="1" applyBorder="1" applyAlignment="1">
      <alignment vertical="center" wrapText="1"/>
    </xf>
    <xf numFmtId="3" fontId="42" fillId="0" borderId="10" xfId="0" applyFont="1" applyBorder="1" applyAlignment="1">
      <alignment horizontal="center" vertical="center" wrapText="1"/>
    </xf>
    <xf numFmtId="3" fontId="30" fillId="0" borderId="0" xfId="0" applyFont="1"/>
    <xf numFmtId="3" fontId="34" fillId="39" borderId="14" xfId="65" applyAlignment="1">
      <alignment horizontal="right"/>
    </xf>
    <xf numFmtId="1" fontId="34" fillId="39" borderId="14" xfId="65" applyNumberFormat="1" applyAlignment="1">
      <alignment horizontal="right"/>
    </xf>
    <xf numFmtId="169" fontId="34" fillId="40" borderId="14" xfId="66" applyAlignment="1">
      <alignment horizontal="right"/>
    </xf>
    <xf numFmtId="4" fontId="34" fillId="39" borderId="14" xfId="65" applyNumberFormat="1" applyAlignment="1">
      <alignment horizontal="right"/>
    </xf>
    <xf numFmtId="0" fontId="36" fillId="0" borderId="21" xfId="53" applyNumberFormat="1" applyFont="1" applyBorder="1"/>
    <xf numFmtId="3" fontId="30" fillId="0" borderId="0" xfId="0" applyFont="1" applyAlignment="1">
      <alignment horizontal="right"/>
    </xf>
    <xf numFmtId="3" fontId="47" fillId="0" borderId="0" xfId="67"/>
    <xf numFmtId="3" fontId="33" fillId="38" borderId="0" xfId="0" applyFont="1" applyFill="1" applyAlignment="1">
      <alignment horizontal="center"/>
    </xf>
    <xf numFmtId="3" fontId="48" fillId="39" borderId="0" xfId="0" applyFont="1" applyFill="1" applyAlignment="1">
      <alignment horizontal="center"/>
    </xf>
    <xf numFmtId="0" fontId="36" fillId="0" borderId="21" xfId="53" applyNumberFormat="1" applyFont="1" applyBorder="1" applyAlignment="1">
      <alignment horizontal="right"/>
    </xf>
    <xf numFmtId="3" fontId="36" fillId="41" borderId="14" xfId="53" applyNumberFormat="1" applyFont="1" applyFill="1"/>
    <xf numFmtId="3" fontId="49" fillId="0" borderId="0" xfId="0" applyFont="1"/>
    <xf numFmtId="3" fontId="36" fillId="0" borderId="0" xfId="0" applyFont="1" applyAlignment="1">
      <alignment horizontal="right"/>
    </xf>
    <xf numFmtId="10" fontId="34" fillId="0" borderId="14" xfId="60" applyNumberFormat="1"/>
    <xf numFmtId="3" fontId="30" fillId="0" borderId="0" xfId="0" applyFont="1" applyAlignment="1">
      <alignment horizontal="left"/>
    </xf>
    <xf numFmtId="168" fontId="36" fillId="39" borderId="14" xfId="65" applyNumberFormat="1" applyFont="1"/>
    <xf numFmtId="172" fontId="32" fillId="0" borderId="0" xfId="0" applyNumberFormat="1" applyFont="1"/>
    <xf numFmtId="1" fontId="0" fillId="0" borderId="0" xfId="0" applyNumberFormat="1"/>
    <xf numFmtId="9" fontId="34" fillId="0" borderId="14" xfId="60" applyNumberFormat="1"/>
    <xf numFmtId="3" fontId="44" fillId="0" borderId="18" xfId="0" applyFont="1" applyBorder="1" applyAlignment="1">
      <alignment vertical="top" wrapText="1"/>
    </xf>
    <xf numFmtId="3" fontId="44" fillId="0" borderId="20" xfId="0" applyFont="1" applyBorder="1" applyAlignment="1">
      <alignment vertical="top" wrapText="1"/>
    </xf>
    <xf numFmtId="3" fontId="44" fillId="41" borderId="20" xfId="0" applyFont="1" applyFill="1" applyBorder="1" applyAlignment="1">
      <alignment vertical="top" wrapText="1"/>
    </xf>
    <xf numFmtId="3" fontId="44" fillId="0" borderId="20" xfId="0" applyFont="1" applyBorder="1" applyAlignment="1">
      <alignment horizontal="left" vertical="top" wrapText="1"/>
    </xf>
    <xf numFmtId="3" fontId="44" fillId="0" borderId="0" xfId="0" applyFont="1" applyAlignment="1">
      <alignment vertical="top" wrapText="1"/>
    </xf>
    <xf numFmtId="3" fontId="44" fillId="0" borderId="0" xfId="0" applyFont="1" applyAlignment="1">
      <alignment wrapText="1"/>
    </xf>
    <xf numFmtId="3" fontId="46" fillId="0" borderId="20" xfId="0" applyFont="1" applyBorder="1" applyAlignment="1">
      <alignment vertical="top" wrapText="1"/>
    </xf>
    <xf numFmtId="3" fontId="45" fillId="0" borderId="20" xfId="0" applyFont="1" applyBorder="1" applyAlignment="1">
      <alignment vertical="top" wrapText="1"/>
    </xf>
    <xf numFmtId="3" fontId="50" fillId="0" borderId="20" xfId="0" applyFont="1" applyBorder="1" applyAlignment="1">
      <alignment vertical="top" wrapText="1"/>
    </xf>
    <xf numFmtId="3" fontId="51" fillId="0" borderId="20" xfId="0" applyFont="1" applyBorder="1" applyAlignment="1">
      <alignment vertical="top" wrapText="1"/>
    </xf>
    <xf numFmtId="173" fontId="44" fillId="0" borderId="18" xfId="0" applyNumberFormat="1" applyFont="1" applyBorder="1" applyAlignment="1">
      <alignment vertical="top" wrapText="1"/>
    </xf>
    <xf numFmtId="3" fontId="44" fillId="0" borderId="18" xfId="0" applyFont="1" applyBorder="1" applyAlignment="1">
      <alignment horizontal="center" vertical="top" wrapText="1"/>
    </xf>
    <xf numFmtId="3" fontId="44" fillId="0" borderId="19" xfId="0" applyFont="1" applyBorder="1" applyAlignment="1">
      <alignment horizontal="center" vertical="top" wrapText="1"/>
    </xf>
    <xf numFmtId="173" fontId="44" fillId="0" borderId="20" xfId="0" applyNumberFormat="1" applyFont="1" applyBorder="1" applyAlignment="1">
      <alignment vertical="top" wrapText="1"/>
    </xf>
    <xf numFmtId="3" fontId="44" fillId="0" borderId="20" xfId="0" applyFont="1" applyBorder="1" applyAlignment="1">
      <alignment horizontal="center" vertical="top" wrapText="1"/>
    </xf>
    <xf numFmtId="3" fontId="45" fillId="0" borderId="20" xfId="0" applyFont="1" applyBorder="1" applyAlignment="1">
      <alignment horizontal="center" vertical="top" wrapText="1"/>
    </xf>
    <xf numFmtId="173" fontId="44" fillId="0" borderId="0" xfId="0" applyNumberFormat="1" applyFont="1" applyAlignment="1">
      <alignment vertical="top" wrapText="1"/>
    </xf>
    <xf numFmtId="3" fontId="44" fillId="0" borderId="0" xfId="0" applyFont="1" applyAlignment="1">
      <alignment horizontal="center" vertical="top" wrapText="1"/>
    </xf>
    <xf numFmtId="3" fontId="44" fillId="41" borderId="20" xfId="0" applyFont="1" applyFill="1" applyBorder="1" applyAlignment="1">
      <alignment horizontal="center" vertical="top" wrapText="1"/>
    </xf>
    <xf numFmtId="3" fontId="46" fillId="0" borderId="20" xfId="0" applyFont="1" applyBorder="1" applyAlignment="1">
      <alignment horizontal="center" vertical="top" wrapText="1"/>
    </xf>
    <xf numFmtId="3" fontId="42" fillId="0" borderId="15" xfId="0" applyFont="1" applyBorder="1" applyAlignment="1">
      <alignment vertical="top" wrapText="1"/>
    </xf>
    <xf numFmtId="173" fontId="42" fillId="0" borderId="16" xfId="0" applyNumberFormat="1" applyFont="1" applyBorder="1" applyAlignment="1">
      <alignment vertical="center" wrapText="1"/>
    </xf>
    <xf numFmtId="3" fontId="44" fillId="0" borderId="0" xfId="0" applyFont="1" applyAlignment="1">
      <alignment horizontal="center" wrapText="1"/>
    </xf>
    <xf numFmtId="173" fontId="42" fillId="0" borderId="0" xfId="0" applyNumberFormat="1" applyFont="1" applyAlignment="1">
      <alignment wrapText="1"/>
    </xf>
    <xf numFmtId="173" fontId="44" fillId="0" borderId="0" xfId="0" applyNumberFormat="1" applyFont="1" applyAlignment="1">
      <alignment wrapText="1"/>
    </xf>
    <xf numFmtId="3" fontId="52" fillId="0" borderId="0" xfId="0" applyFont="1"/>
    <xf numFmtId="168" fontId="32" fillId="41" borderId="0" xfId="0" applyNumberFormat="1" applyFont="1" applyFill="1"/>
    <xf numFmtId="3" fontId="32" fillId="41" borderId="0" xfId="0" applyFont="1" applyFill="1"/>
    <xf numFmtId="0" fontId="32" fillId="0" borderId="0" xfId="0" applyNumberFormat="1" applyFont="1"/>
    <xf numFmtId="168" fontId="0" fillId="0" borderId="0" xfId="0" applyNumberFormat="1"/>
    <xf numFmtId="3" fontId="42" fillId="42" borderId="22" xfId="0" applyFont="1" applyFill="1" applyBorder="1" applyAlignment="1">
      <alignment horizontal="left" wrapText="1"/>
    </xf>
    <xf numFmtId="3" fontId="42" fillId="42" borderId="0" xfId="0" applyFont="1" applyFill="1" applyAlignment="1">
      <alignment horizontal="left" wrapText="1"/>
    </xf>
    <xf numFmtId="3" fontId="42" fillId="42" borderId="23" xfId="0" applyFont="1" applyFill="1" applyBorder="1" applyAlignment="1">
      <alignment horizontal="left" wrapText="1"/>
    </xf>
    <xf numFmtId="3" fontId="42" fillId="0" borderId="17" xfId="0" applyFont="1" applyBorder="1" applyAlignment="1">
      <alignment wrapText="1"/>
    </xf>
    <xf numFmtId="3" fontId="42" fillId="0" borderId="15" xfId="0" applyFont="1" applyBorder="1" applyAlignment="1">
      <alignment wrapText="1"/>
    </xf>
    <xf numFmtId="3" fontId="42" fillId="0" borderId="16" xfId="0" applyFont="1" applyBorder="1" applyAlignment="1">
      <alignment wrapText="1"/>
    </xf>
    <xf numFmtId="3" fontId="42" fillId="0" borderId="24" xfId="0" applyFont="1" applyBorder="1" applyAlignment="1">
      <alignment wrapText="1"/>
    </xf>
    <xf numFmtId="3" fontId="42" fillId="0" borderId="25" xfId="0" applyFont="1" applyBorder="1" applyAlignment="1">
      <alignment horizontal="left" wrapText="1"/>
    </xf>
    <xf numFmtId="3" fontId="42" fillId="0" borderId="26" xfId="0" applyFont="1" applyBorder="1" applyAlignment="1">
      <alignment horizontal="left" wrapText="1"/>
    </xf>
    <xf numFmtId="3" fontId="42" fillId="0" borderId="27" xfId="0" applyFont="1" applyBorder="1" applyAlignment="1">
      <alignment horizontal="left" wrapText="1"/>
    </xf>
    <xf numFmtId="3" fontId="42" fillId="42" borderId="10" xfId="0" applyFont="1" applyFill="1" applyBorder="1" applyAlignment="1">
      <alignment horizontal="center" vertical="center" wrapText="1"/>
    </xf>
    <xf numFmtId="3" fontId="30" fillId="39" borderId="0" xfId="0" applyFont="1" applyFill="1" applyAlignment="1">
      <alignment horizontal="center"/>
    </xf>
    <xf numFmtId="3" fontId="36" fillId="0" borderId="0" xfId="0" applyFont="1" applyAlignment="1">
      <alignment horizontal="left"/>
    </xf>
    <xf numFmtId="3" fontId="53" fillId="43" borderId="28" xfId="0" applyFont="1" applyFill="1" applyBorder="1" applyAlignment="1">
      <alignment vertical="center" wrapText="1"/>
    </xf>
    <xf numFmtId="3" fontId="53" fillId="43" borderId="29" xfId="0" applyFont="1" applyFill="1" applyBorder="1" applyAlignment="1">
      <alignment vertical="center" wrapText="1"/>
    </xf>
    <xf numFmtId="3" fontId="54" fillId="0" borderId="30" xfId="0" applyFont="1" applyBorder="1" applyAlignment="1">
      <alignment vertical="center" wrapText="1"/>
    </xf>
    <xf numFmtId="3" fontId="54" fillId="0" borderId="31" xfId="0" applyFont="1" applyBorder="1" applyAlignment="1">
      <alignment vertical="center" wrapText="1"/>
    </xf>
    <xf numFmtId="3" fontId="54" fillId="0" borderId="32" xfId="0" applyFont="1" applyBorder="1" applyAlignment="1">
      <alignment vertical="center" wrapText="1"/>
    </xf>
    <xf numFmtId="3" fontId="54" fillId="0" borderId="33" xfId="0" applyFont="1" applyBorder="1" applyAlignment="1">
      <alignment vertical="center" wrapText="1"/>
    </xf>
    <xf numFmtId="3" fontId="55" fillId="0" borderId="34" xfId="0" applyFont="1" applyBorder="1" applyAlignment="1">
      <alignment vertical="center" wrapText="1"/>
    </xf>
    <xf numFmtId="3" fontId="54" fillId="0" borderId="31" xfId="0" applyFont="1" applyBorder="1" applyAlignment="1">
      <alignment vertical="top" wrapText="1"/>
    </xf>
    <xf numFmtId="1" fontId="34" fillId="41" borderId="14" xfId="65" applyNumberFormat="1" applyFill="1"/>
  </cellXfs>
  <cellStyles count="68">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4" builtinId="27" hidden="1"/>
    <cellStyle name="Calc date" xfId="63" xr:uid="{FDFF96F5-CC13-49BF-879B-DAD71C04E274}"/>
    <cellStyle name="Calc number" xfId="65" xr:uid="{068D30A2-2F19-4211-94E2-3A81E1C65453}"/>
    <cellStyle name="Calculation" xfId="17" builtinId="22" hidden="1"/>
    <cellStyle name="Calculation" xfId="54" builtinId="22" hidden="1" customBuiltin="1"/>
    <cellStyle name="Check Cell" xfId="19" builtinId="23" hidden="1"/>
    <cellStyle name="Check Cell" xfId="55" builtinId="23" hidden="1" customBuiltin="1"/>
    <cellStyle name="Comma" xfId="3" builtinId="3" hidden="1"/>
    <cellStyle name="Comma [0]" xfId="4" builtinId="6" hidden="1"/>
    <cellStyle name="Currency" xfId="5" builtinId="4" hidden="1"/>
    <cellStyle name="Currency [0]" xfId="6" builtinId="7" hidden="1"/>
    <cellStyle name="Date" xfId="59" xr:uid="{43E69A2D-509B-4AF1-9C94-5DB931D7518A}"/>
    <cellStyle name="Explanatory Text" xfId="22" builtinId="53" hidden="1"/>
    <cellStyle name="Followed Hyperlink" xfId="49" builtinId="9" hidden="1"/>
    <cellStyle name="Followed Hyperlink" xfId="50" builtinId="9" hidden="1"/>
    <cellStyle name="Followed Hyperlink" xfId="51" builtinId="9" hidden="1" customBuiltin="1"/>
    <cellStyle name="Good" xfId="13" builtinId="26" hidden="1"/>
    <cellStyle name="Heading 1" xfId="9" builtinId="16" hidden="1"/>
    <cellStyle name="Heading 2" xfId="10" builtinId="17" hidden="1"/>
    <cellStyle name="Heading 2" xfId="2" builtinId="17"/>
    <cellStyle name="Heading 3" xfId="11" builtinId="18" hidden="1"/>
    <cellStyle name="Heading 3" xfId="58" builtinId="18" hidden="1"/>
    <cellStyle name="Heading 4" xfId="12" builtinId="19" hidden="1"/>
    <cellStyle name="Hyperlink" xfId="48" builtinId="8" hidden="1" customBuiltin="1"/>
    <cellStyle name="Hyperlink" xfId="64" builtinId="8" hidden="1"/>
    <cellStyle name="Hyperlink" xfId="67" builtinId="8"/>
    <cellStyle name="Input" xfId="1" builtinId="20" hidden="1"/>
    <cellStyle name="Linked Cell" xfId="18" builtinId="24" hidden="1"/>
    <cellStyle name="NamedCell" xfId="62" xr:uid="{28D75D55-FEC7-4C1B-9A3F-2D22847E67BD}"/>
    <cellStyle name="Neutral" xfId="15" builtinId="28" hidden="1"/>
    <cellStyle name="Normal" xfId="0" builtinId="0" customBuiltin="1"/>
    <cellStyle name="Note" xfId="21" builtinId="10" hidden="1"/>
    <cellStyle name="Note" xfId="56" builtinId="10" hidden="1" customBuiltin="1"/>
    <cellStyle name="Number" xfId="53" xr:uid="{788EEC81-25EA-4ED2-94DB-2B6F3A083521}"/>
    <cellStyle name="Output" xfId="16" builtinId="21" hidden="1"/>
    <cellStyle name="Output" xfId="57" builtinId="21" hidden="1" customBuiltin="1"/>
    <cellStyle name="Percent" xfId="7" builtinId="5" hidden="1"/>
    <cellStyle name="Percent" xfId="52" builtinId="5" hidden="1" customBuiltin="1"/>
    <cellStyle name="Percent" xfId="60" builtinId="5" customBuiltin="1"/>
    <cellStyle name="Percent calc" xfId="66" xr:uid="{0DD8D5C6-7F84-444D-B4CB-6ED09948EF7F}"/>
    <cellStyle name="Text" xfId="61" xr:uid="{DEC41B7D-2CC4-4DF5-B1F5-80A17DDD8837}"/>
    <cellStyle name="Title" xfId="8" builtinId="15" hidden="1"/>
    <cellStyle name="Total" xfId="23" builtinId="25" hidden="1"/>
    <cellStyle name="Warning Text" xfId="20" builtinId="11" hidden="1"/>
  </cellStyles>
  <dxfs count="3">
    <dxf>
      <fill>
        <patternFill>
          <bgColor theme="0" tint="-0.14996795556505021"/>
        </patternFill>
      </fill>
    </dxf>
    <dxf>
      <font>
        <b/>
        <i val="0"/>
      </font>
    </dxf>
    <dxf>
      <font>
        <b/>
        <i val="0"/>
        <strike val="0"/>
      </font>
      <fill>
        <patternFill>
          <bgColor theme="0" tint="-0.14996795556505021"/>
        </patternFill>
      </fill>
    </dxf>
  </dxfs>
  <tableStyles count="1" defaultTableStyle="Report Table Template" defaultPivotStyle="PivotStyleLight16">
    <tableStyle name="Report Table Template" pivot="0" count="3" xr9:uid="{00000000-0011-0000-FFFF-FFFF00000000}">
      <tableStyleElement type="headerRow" dxfId="2"/>
      <tableStyleElement type="totalRow" dxfId="1"/>
      <tableStyleElement type="secondRowStripe" dxfId="0"/>
    </tableStyle>
  </tableStyles>
  <colors>
    <mruColors>
      <color rgb="FF80BC00"/>
      <color rgb="FFF1F2F3"/>
      <color rgb="FF808080"/>
      <color rgb="FFF2F4FC"/>
      <color rgb="FFE2EFDA"/>
      <color rgb="FF000000"/>
      <color rgb="FFFFF2D1"/>
      <color rgb="FFD0CECE"/>
      <color rgb="FFBFDDE7"/>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5"/>
          <c:order val="2"/>
          <c:tx>
            <c:strRef>
              <c:f>DCF!$F$48</c:f>
              <c:strCache>
                <c:ptCount val="1"/>
                <c:pt idx="0">
                  <c:v>Base</c:v>
                </c:pt>
              </c:strCache>
            </c:strRef>
          </c:tx>
          <c:spPr>
            <a:noFill/>
            <a:ln>
              <a:noFill/>
            </a:ln>
            <a:effectLst/>
          </c:spPr>
          <c:cat>
            <c:numRef>
              <c:f>DCF!$N$45:$AR$45</c:f>
              <c:numCache>
                <c:formatCode>0</c:formatCode>
                <c:ptCount val="3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numCache>
            </c:numRef>
          </c:cat>
          <c:val>
            <c:numRef>
              <c:f>DCF!$N$48:$AR$48</c:f>
              <c:numCache>
                <c:formatCode>#,##0</c:formatCode>
                <c:ptCount val="31"/>
                <c:pt idx="0">
                  <c:v>18.979500000000002</c:v>
                </c:pt>
                <c:pt idx="1">
                  <c:v>37.072107476635516</c:v>
                </c:pt>
                <c:pt idx="2">
                  <c:v>54.312635033627387</c:v>
                </c:pt>
                <c:pt idx="3">
                  <c:v>70.735136121344311</c:v>
                </c:pt>
                <c:pt idx="4">
                  <c:v>86.3728553725648</c:v>
                </c:pt>
                <c:pt idx="5">
                  <c:v>101.25818868542612</c:v>
                </c:pt>
                <c:pt idx="6">
                  <c:v>115.42265199078268</c:v>
                </c:pt>
                <c:pt idx="7">
                  <c:v>128.89685773853509</c:v>
                </c:pt>
                <c:pt idx="8">
                  <c:v>141.71049822664199</c:v>
                </c:pt>
                <c:pt idx="9">
                  <c:v>153.89233497814547</c:v>
                </c:pt>
                <c:pt idx="10">
                  <c:v>155.82197805615965</c:v>
                </c:pt>
                <c:pt idx="11">
                  <c:v>157.62538280196731</c:v>
                </c:pt>
                <c:pt idx="12">
                  <c:v>159.31080779804921</c:v>
                </c:pt>
                <c:pt idx="13">
                  <c:v>160.8859713457893</c:v>
                </c:pt>
                <c:pt idx="14">
                  <c:v>162.35808681096697</c:v>
                </c:pt>
                <c:pt idx="15">
                  <c:v>163.73389565692739</c:v>
                </c:pt>
                <c:pt idx="16">
                  <c:v>165.01969831670348</c:v>
                </c:pt>
                <c:pt idx="17">
                  <c:v>166.22138304546621</c:v>
                </c:pt>
                <c:pt idx="18">
                  <c:v>167.34445288543137</c:v>
                </c:pt>
                <c:pt idx="19">
                  <c:v>168.3940508667072</c:v>
                </c:pt>
                <c:pt idx="20">
                  <c:v>169.37498355948836</c:v>
                </c:pt>
                <c:pt idx="21">
                  <c:v>170.29174308545205</c:v>
                </c:pt>
                <c:pt idx="22">
                  <c:v>171.14852768915645</c:v>
                </c:pt>
                <c:pt idx="23">
                  <c:v>171.94926096364654</c:v>
                </c:pt>
                <c:pt idx="24">
                  <c:v>172.69760981831018</c:v>
                </c:pt>
                <c:pt idx="25">
                  <c:v>173.39700127126684</c:v>
                </c:pt>
                <c:pt idx="26">
                  <c:v>174.05063814318896</c:v>
                </c:pt>
                <c:pt idx="27">
                  <c:v>174.66151372442459</c:v>
                </c:pt>
                <c:pt idx="28">
                  <c:v>175.23242548258872</c:v>
                </c:pt>
                <c:pt idx="29">
                  <c:v>175.76598787339634</c:v>
                </c:pt>
                <c:pt idx="30">
                  <c:v>176.26464431340344</c:v>
                </c:pt>
              </c:numCache>
            </c:numRef>
          </c:val>
          <c:extLst>
            <c:ext xmlns:c16="http://schemas.microsoft.com/office/drawing/2014/chart" uri="{C3380CC4-5D6E-409C-BE32-E72D297353CC}">
              <c16:uniqueId val="{00000007-BAEC-4ED6-9A7F-480D7E61D6D4}"/>
            </c:ext>
          </c:extLst>
        </c:ser>
        <c:ser>
          <c:idx val="3"/>
          <c:order val="3"/>
          <c:tx>
            <c:strRef>
              <c:f>DCF!$F$49</c:f>
              <c:strCache>
                <c:ptCount val="1"/>
                <c:pt idx="0">
                  <c:v>Cumulative NPV, positive from FY2036 onwards</c:v>
                </c:pt>
              </c:strCache>
            </c:strRef>
          </c:tx>
          <c:spPr>
            <a:solidFill>
              <a:srgbClr val="F1F2F3"/>
            </a:solidFill>
            <a:ln>
              <a:noFill/>
            </a:ln>
            <a:effectLst/>
          </c:spPr>
          <c:dLbls>
            <c:dLbl>
              <c:idx val="0"/>
              <c:delete val="1"/>
              <c:extLst>
                <c:ext xmlns:c15="http://schemas.microsoft.com/office/drawing/2012/chart" uri="{CE6537A1-D6FC-4f65-9D91-7224C49458BB}">
                  <c15:layout>
                    <c:manualLayout>
                      <c:w val="0.26108315412186378"/>
                      <c:h val="0.14922516339869282"/>
                    </c:manualLayout>
                  </c15:layout>
                </c:ext>
                <c:ext xmlns:c16="http://schemas.microsoft.com/office/drawing/2014/chart" uri="{C3380CC4-5D6E-409C-BE32-E72D297353CC}">
                  <c16:uniqueId val="{0000000A-BAEC-4ED6-9A7F-480D7E61D6D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Light" panose="020F0302020204030204" pitchFamily="34" charset="0"/>
                    <a:ea typeface="+mn-ea"/>
                    <a:cs typeface="Calibri Light" panose="020F0302020204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DCF!$N$45:$AR$45</c:f>
              <c:numCache>
                <c:formatCode>0</c:formatCode>
                <c:ptCount val="3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numCache>
            </c:numRef>
          </c:cat>
          <c:val>
            <c:numRef>
              <c:f>DCF!$N$49:$AR$49</c:f>
              <c:numCache>
                <c:formatCode>#,##0</c:formatCode>
                <c:ptCount val="31"/>
                <c:pt idx="0">
                  <c:v>-18.979500000000002</c:v>
                </c:pt>
                <c:pt idx="1">
                  <c:v>-32.402199932323917</c:v>
                </c:pt>
                <c:pt idx="2">
                  <c:v>-43.214093981576511</c:v>
                </c:pt>
                <c:pt idx="3">
                  <c:v>-51.627669598602452</c:v>
                </c:pt>
                <c:pt idx="4">
                  <c:v>-57.843436286098225</c:v>
                </c:pt>
                <c:pt idx="5">
                  <c:v>-62.050283689410406</c:v>
                </c:pt>
                <c:pt idx="6">
                  <c:v>-64.425863143962033</c:v>
                </c:pt>
                <c:pt idx="7">
                  <c:v>-65.136986904636558</c:v>
                </c:pt>
                <c:pt idx="8">
                  <c:v>-64.340040004386069</c:v>
                </c:pt>
                <c:pt idx="9">
                  <c:v>-62.181400338588645</c:v>
                </c:pt>
                <c:pt idx="10">
                  <c:v>-49.117675274231374</c:v>
                </c:pt>
                <c:pt idx="11">
                  <c:v>-36.642178516974937</c:v>
                </c:pt>
                <c:pt idx="12">
                  <c:v>-24.733690076614835</c:v>
                </c:pt>
                <c:pt idx="13">
                  <c:v>-13.371265677971564</c:v>
                </c:pt>
                <c:pt idx="14">
                  <c:v>-2.5342897415052619</c:v>
                </c:pt>
                <c:pt idx="15">
                  <c:v>7.7974795552176488</c:v>
                </c:pt>
                <c:pt idx="16">
                  <c:v>17.643872347879864</c:v>
                </c:pt>
                <c:pt idx="17">
                  <c:v>27.024275566738652</c:v>
                </c:pt>
                <c:pt idx="18">
                  <c:v>35.957607169548766</c:v>
                </c:pt>
                <c:pt idx="19">
                  <c:v>44.462295523520112</c:v>
                </c:pt>
                <c:pt idx="20">
                  <c:v>52.551484808200854</c:v>
                </c:pt>
                <c:pt idx="21">
                  <c:v>60.242968623235043</c:v>
                </c:pt>
                <c:pt idx="22">
                  <c:v>67.554176052597398</c:v>
                </c:pt>
                <c:pt idx="23">
                  <c:v>74.501956501491634</c:v>
                </c:pt>
                <c:pt idx="24">
                  <c:v>81.102581091676655</c:v>
                </c:pt>
                <c:pt idx="25">
                  <c:v>87.371746339366723</c:v>
                </c:pt>
                <c:pt idx="26">
                  <c:v>93.324579812900765</c:v>
                </c:pt>
                <c:pt idx="27">
                  <c:v>98.975647497006491</c:v>
                </c:pt>
                <c:pt idx="28">
                  <c:v>104.33896261756144</c:v>
                </c:pt>
                <c:pt idx="29">
                  <c:v>109.4279957054809</c:v>
                </c:pt>
                <c:pt idx="30">
                  <c:v>114.18700703551821</c:v>
                </c:pt>
              </c:numCache>
            </c:numRef>
          </c:val>
          <c:extLst>
            <c:ext xmlns:c16="http://schemas.microsoft.com/office/drawing/2014/chart" uri="{C3380CC4-5D6E-409C-BE32-E72D297353CC}">
              <c16:uniqueId val="{00000003-BAEC-4ED6-9A7F-480D7E61D6D4}"/>
            </c:ext>
          </c:extLst>
        </c:ser>
        <c:dLbls>
          <c:showLegendKey val="0"/>
          <c:showVal val="0"/>
          <c:showCatName val="0"/>
          <c:showSerName val="0"/>
          <c:showPercent val="0"/>
          <c:showBubbleSize val="0"/>
        </c:dLbls>
        <c:axId val="312102400"/>
        <c:axId val="312102816"/>
      </c:areaChart>
      <c:lineChart>
        <c:grouping val="standard"/>
        <c:varyColors val="0"/>
        <c:ser>
          <c:idx val="1"/>
          <c:order val="0"/>
          <c:tx>
            <c:strRef>
              <c:f>DCF!$F$46</c:f>
              <c:strCache>
                <c:ptCount val="1"/>
                <c:pt idx="0">
                  <c:v>Cumulative PV costs</c:v>
                </c:pt>
              </c:strCache>
            </c:strRef>
          </c:tx>
          <c:spPr>
            <a:ln w="28575" cap="rnd">
              <a:solidFill>
                <a:schemeClr val="bg1">
                  <a:lumMod val="50000"/>
                </a:schemeClr>
              </a:solidFill>
              <a:round/>
            </a:ln>
            <a:effectLst/>
          </c:spPr>
          <c:marker>
            <c:symbol val="none"/>
          </c:marker>
          <c:dLbls>
            <c:dLbl>
              <c:idx val="17"/>
              <c:layout>
                <c:manualLayout>
                  <c:x val="-0.11318038848879457"/>
                  <c:y val="5.460335129993246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Calibri Light" panose="020F0302020204030204" pitchFamily="34" charset="0"/>
                      <a:ea typeface="+mn-ea"/>
                      <a:cs typeface="Calibri Light" panose="020F030202020403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AEC-4ED6-9A7F-480D7E61D6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Light" panose="020F0302020204030204" pitchFamily="34" charset="0"/>
                    <a:ea typeface="+mn-ea"/>
                    <a:cs typeface="Calibri Light" panose="020F0302020204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DCF!$N$45:$AR$45</c:f>
              <c:numCache>
                <c:formatCode>0</c:formatCode>
                <c:ptCount val="3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numCache>
            </c:numRef>
          </c:cat>
          <c:val>
            <c:numRef>
              <c:f>DCF!$N$46:$AR$46</c:f>
              <c:numCache>
                <c:formatCode>#,##0</c:formatCode>
                <c:ptCount val="31"/>
                <c:pt idx="0">
                  <c:v>18.979500000000002</c:v>
                </c:pt>
                <c:pt idx="1">
                  <c:v>37.072107476635516</c:v>
                </c:pt>
                <c:pt idx="2">
                  <c:v>54.312635033627387</c:v>
                </c:pt>
                <c:pt idx="3">
                  <c:v>70.735136121344311</c:v>
                </c:pt>
                <c:pt idx="4">
                  <c:v>86.3728553725648</c:v>
                </c:pt>
                <c:pt idx="5">
                  <c:v>101.25818868542612</c:v>
                </c:pt>
                <c:pt idx="6">
                  <c:v>115.42265199078268</c:v>
                </c:pt>
                <c:pt idx="7">
                  <c:v>128.89685773853509</c:v>
                </c:pt>
                <c:pt idx="8">
                  <c:v>141.71049822664199</c:v>
                </c:pt>
                <c:pt idx="9">
                  <c:v>153.89233497814547</c:v>
                </c:pt>
                <c:pt idx="10">
                  <c:v>155.82197805615965</c:v>
                </c:pt>
                <c:pt idx="11">
                  <c:v>157.62538280196731</c:v>
                </c:pt>
                <c:pt idx="12">
                  <c:v>159.31080779804921</c:v>
                </c:pt>
                <c:pt idx="13">
                  <c:v>160.8859713457893</c:v>
                </c:pt>
                <c:pt idx="14">
                  <c:v>162.35808681096697</c:v>
                </c:pt>
                <c:pt idx="15">
                  <c:v>163.73389565692739</c:v>
                </c:pt>
                <c:pt idx="16">
                  <c:v>165.01969831670348</c:v>
                </c:pt>
                <c:pt idx="17">
                  <c:v>166.22138304546621</c:v>
                </c:pt>
                <c:pt idx="18">
                  <c:v>167.34445288543137</c:v>
                </c:pt>
                <c:pt idx="19">
                  <c:v>168.3940508667072</c:v>
                </c:pt>
                <c:pt idx="20">
                  <c:v>169.37498355948836</c:v>
                </c:pt>
                <c:pt idx="21">
                  <c:v>170.29174308545205</c:v>
                </c:pt>
                <c:pt idx="22">
                  <c:v>171.14852768915645</c:v>
                </c:pt>
                <c:pt idx="23">
                  <c:v>171.94926096364654</c:v>
                </c:pt>
                <c:pt idx="24">
                  <c:v>172.69760981831018</c:v>
                </c:pt>
                <c:pt idx="25">
                  <c:v>173.39700127126684</c:v>
                </c:pt>
                <c:pt idx="26">
                  <c:v>174.05063814318896</c:v>
                </c:pt>
                <c:pt idx="27">
                  <c:v>174.66151372442459</c:v>
                </c:pt>
                <c:pt idx="28">
                  <c:v>175.23242548258872</c:v>
                </c:pt>
                <c:pt idx="29">
                  <c:v>175.76598787339634</c:v>
                </c:pt>
                <c:pt idx="30">
                  <c:v>176.26464431340344</c:v>
                </c:pt>
              </c:numCache>
            </c:numRef>
          </c:val>
          <c:smooth val="0"/>
          <c:extLst>
            <c:ext xmlns:c16="http://schemas.microsoft.com/office/drawing/2014/chart" uri="{C3380CC4-5D6E-409C-BE32-E72D297353CC}">
              <c16:uniqueId val="{00000001-BAEC-4ED6-9A7F-480D7E61D6D4}"/>
            </c:ext>
          </c:extLst>
        </c:ser>
        <c:ser>
          <c:idx val="2"/>
          <c:order val="1"/>
          <c:tx>
            <c:strRef>
              <c:f>DCF!$F$47</c:f>
              <c:strCache>
                <c:ptCount val="1"/>
                <c:pt idx="0">
                  <c:v>Cumulative PV benefits</c:v>
                </c:pt>
              </c:strCache>
            </c:strRef>
          </c:tx>
          <c:spPr>
            <a:ln w="28575" cap="rnd">
              <a:solidFill>
                <a:srgbClr val="80BC00"/>
              </a:solidFill>
              <a:round/>
            </a:ln>
            <a:effectLst/>
          </c:spPr>
          <c:marker>
            <c:symbol val="none"/>
          </c:marker>
          <c:dLbls>
            <c:dLbl>
              <c:idx val="17"/>
              <c:layout>
                <c:manualLayout>
                  <c:x val="-0.27373788865904647"/>
                  <c:y val="-4.7921026021603272E-3"/>
                </c:manualLayout>
              </c:layout>
              <c:showLegendKey val="0"/>
              <c:showVal val="0"/>
              <c:showCatName val="0"/>
              <c:showSerName val="1"/>
              <c:showPercent val="0"/>
              <c:showBubbleSize val="0"/>
              <c:extLst>
                <c:ext xmlns:c15="http://schemas.microsoft.com/office/drawing/2012/chart" uri="{CE6537A1-D6FC-4f65-9D91-7224C49458BB}">
                  <c15:layout>
                    <c:manualLayout>
                      <c:w val="0.26511810035842293"/>
                      <c:h val="0.10363366013071895"/>
                    </c:manualLayout>
                  </c15:layout>
                </c:ext>
                <c:ext xmlns:c16="http://schemas.microsoft.com/office/drawing/2014/chart" uri="{C3380CC4-5D6E-409C-BE32-E72D297353CC}">
                  <c16:uniqueId val="{00000009-BAEC-4ED6-9A7F-480D7E61D6D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80BC00"/>
                    </a:solidFill>
                    <a:latin typeface="Calibri Light" panose="020F0302020204030204" pitchFamily="34" charset="0"/>
                    <a:ea typeface="+mn-ea"/>
                    <a:cs typeface="Calibri Light" panose="020F0302020204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DCF!$N$45:$AR$45</c:f>
              <c:numCache>
                <c:formatCode>0</c:formatCode>
                <c:ptCount val="3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numCache>
            </c:numRef>
          </c:cat>
          <c:val>
            <c:numRef>
              <c:f>DCF!$N$47:$AR$47</c:f>
              <c:numCache>
                <c:formatCode>#,##0</c:formatCode>
                <c:ptCount val="31"/>
                <c:pt idx="0">
                  <c:v>0</c:v>
                </c:pt>
                <c:pt idx="1">
                  <c:v>4.6699075443116005</c:v>
                </c:pt>
                <c:pt idx="2">
                  <c:v>11.098541052050878</c:v>
                </c:pt>
                <c:pt idx="3">
                  <c:v>19.107466522741863</c:v>
                </c:pt>
                <c:pt idx="4">
                  <c:v>28.529419086466575</c:v>
                </c:pt>
                <c:pt idx="5">
                  <c:v>39.207904996015714</c:v>
                </c:pt>
                <c:pt idx="6">
                  <c:v>50.996788846820657</c:v>
                </c:pt>
                <c:pt idx="7">
                  <c:v>63.759870833898532</c:v>
                </c:pt>
                <c:pt idx="8">
                  <c:v>77.37045822225592</c:v>
                </c:pt>
                <c:pt idx="9">
                  <c:v>91.710934639556825</c:v>
                </c:pt>
                <c:pt idx="10">
                  <c:v>106.70430278192828</c:v>
                </c:pt>
                <c:pt idx="11">
                  <c:v>120.98320428499237</c:v>
                </c:pt>
                <c:pt idx="12">
                  <c:v>134.57711772143438</c:v>
                </c:pt>
                <c:pt idx="13">
                  <c:v>147.51470566781774</c:v>
                </c:pt>
                <c:pt idx="14">
                  <c:v>159.8237970694617</c:v>
                </c:pt>
                <c:pt idx="15">
                  <c:v>171.53137521214504</c:v>
                </c:pt>
                <c:pt idx="16">
                  <c:v>182.66357066458335</c:v>
                </c:pt>
                <c:pt idx="17">
                  <c:v>193.24565861220486</c:v>
                </c:pt>
                <c:pt idx="18">
                  <c:v>203.30206005498013</c:v>
                </c:pt>
                <c:pt idx="19">
                  <c:v>212.85634639022732</c:v>
                </c:pt>
                <c:pt idx="20">
                  <c:v>221.92646836768921</c:v>
                </c:pt>
                <c:pt idx="21">
                  <c:v>230.5347117086871</c:v>
                </c:pt>
                <c:pt idx="22">
                  <c:v>238.70270374175385</c:v>
                </c:pt>
                <c:pt idx="23">
                  <c:v>246.45121746513817</c:v>
                </c:pt>
                <c:pt idx="24">
                  <c:v>253.80019090998684</c:v>
                </c:pt>
                <c:pt idx="25">
                  <c:v>260.76874761063357</c:v>
                </c:pt>
                <c:pt idx="26">
                  <c:v>267.37521795608973</c:v>
                </c:pt>
                <c:pt idx="27">
                  <c:v>273.63716122143109</c:v>
                </c:pt>
                <c:pt idx="28">
                  <c:v>279.57138810015016</c:v>
                </c:pt>
                <c:pt idx="29">
                  <c:v>285.19398357887724</c:v>
                </c:pt>
                <c:pt idx="30">
                  <c:v>290.45165134892164</c:v>
                </c:pt>
              </c:numCache>
            </c:numRef>
          </c:val>
          <c:smooth val="0"/>
          <c:extLst>
            <c:ext xmlns:c16="http://schemas.microsoft.com/office/drawing/2014/chart" uri="{C3380CC4-5D6E-409C-BE32-E72D297353CC}">
              <c16:uniqueId val="{00000002-BAEC-4ED6-9A7F-480D7E61D6D4}"/>
            </c:ext>
          </c:extLst>
        </c:ser>
        <c:dLbls>
          <c:showLegendKey val="0"/>
          <c:showVal val="0"/>
          <c:showCatName val="0"/>
          <c:showSerName val="0"/>
          <c:showPercent val="0"/>
          <c:showBubbleSize val="0"/>
        </c:dLbls>
        <c:marker val="1"/>
        <c:smooth val="0"/>
        <c:axId val="312102400"/>
        <c:axId val="312102816"/>
      </c:lineChart>
      <c:catAx>
        <c:axId val="31210240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Calibri Light" panose="020F0302020204030204" pitchFamily="34" charset="0"/>
                    <a:ea typeface="+mn-ea"/>
                    <a:cs typeface="Calibri Light" panose="020F0302020204030204" pitchFamily="34" charset="0"/>
                  </a:defRPr>
                </a:pPr>
                <a:r>
                  <a:rPr lang="en-AU" sz="900" b="1">
                    <a:latin typeface="Calibri Light" panose="020F0302020204030204" pitchFamily="34" charset="0"/>
                    <a:cs typeface="Calibri Light" panose="020F0302020204030204" pitchFamily="34" charset="0"/>
                  </a:rPr>
                  <a:t>Financial</a:t>
                </a:r>
                <a:r>
                  <a:rPr lang="en-AU" sz="900" b="1" baseline="0">
                    <a:latin typeface="Calibri Light" panose="020F0302020204030204" pitchFamily="34" charset="0"/>
                    <a:cs typeface="Calibri Light" panose="020F0302020204030204" pitchFamily="34" charset="0"/>
                  </a:rPr>
                  <a:t> year ending</a:t>
                </a:r>
                <a:endParaRPr lang="en-AU" sz="900" b="1">
                  <a:latin typeface="Calibri Light" panose="020F0302020204030204" pitchFamily="34" charset="0"/>
                  <a:cs typeface="Calibri Light" panose="020F0302020204030204" pitchFamily="34" charset="0"/>
                </a:endParaRP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Calibri Light" panose="020F0302020204030204" pitchFamily="34" charset="0"/>
                  <a:ea typeface="+mn-ea"/>
                  <a:cs typeface="Calibri Light" panose="020F0302020204030204" pitchFamily="34" charset="0"/>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Light" panose="020F0302020204030204" pitchFamily="34" charset="0"/>
                <a:ea typeface="+mn-ea"/>
                <a:cs typeface="Calibri Light" panose="020F0302020204030204" pitchFamily="34" charset="0"/>
              </a:defRPr>
            </a:pPr>
            <a:endParaRPr lang="en-US"/>
          </a:p>
        </c:txPr>
        <c:crossAx val="312102816"/>
        <c:crosses val="autoZero"/>
        <c:auto val="1"/>
        <c:lblAlgn val="ctr"/>
        <c:lblOffset val="100"/>
        <c:noMultiLvlLbl val="0"/>
      </c:catAx>
      <c:valAx>
        <c:axId val="31210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Calibri Light" panose="020F0302020204030204" pitchFamily="34" charset="0"/>
                    <a:ea typeface="+mn-ea"/>
                    <a:cs typeface="Calibri Light" panose="020F0302020204030204" pitchFamily="34" charset="0"/>
                  </a:defRPr>
                </a:pPr>
                <a:r>
                  <a:rPr lang="en-AU" sz="900" b="1">
                    <a:latin typeface="Calibri Light" panose="020F0302020204030204" pitchFamily="34" charset="0"/>
                    <a:cs typeface="Calibri Light" panose="020F0302020204030204" pitchFamily="34" charset="0"/>
                  </a:rPr>
                  <a:t>$million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Calibri Light" panose="020F0302020204030204" pitchFamily="34" charset="0"/>
                  <a:ea typeface="+mn-ea"/>
                  <a:cs typeface="Calibri Light" panose="020F030202020403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Light" panose="020F0302020204030204" pitchFamily="34" charset="0"/>
                <a:ea typeface="+mn-ea"/>
                <a:cs typeface="Calibri Light" panose="020F0302020204030204" pitchFamily="34" charset="0"/>
              </a:defRPr>
            </a:pPr>
            <a:endParaRPr lang="en-US"/>
          </a:p>
        </c:txPr>
        <c:crossAx val="312102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2</xdr:row>
      <xdr:rowOff>44220</xdr:rowOff>
    </xdr:from>
    <xdr:to>
      <xdr:col>6</xdr:col>
      <xdr:colOff>262011</xdr:colOff>
      <xdr:row>9</xdr:row>
      <xdr:rowOff>85165</xdr:rowOff>
    </xdr:to>
    <xdr:pic>
      <xdr:nvPicPr>
        <xdr:cNvPr id="2" name="Picture 1" descr="http://intranet.sgsep.com.au/application/files/9914/5333/2664/Logo_withTagline_Outlined_191211.jpg">
          <a:extLst>
            <a:ext uri="{FF2B5EF4-FFF2-40B4-BE49-F238E27FC236}">
              <a16:creationId xmlns:a16="http://schemas.microsoft.com/office/drawing/2014/main" id="{ECD31923-B6BC-44BA-9C4E-A6682670C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414334"/>
          <a:ext cx="4324669" cy="1033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369796</xdr:colOff>
      <xdr:row>2</xdr:row>
      <xdr:rowOff>89647</xdr:rowOff>
    </xdr:from>
    <xdr:to>
      <xdr:col>19</xdr:col>
      <xdr:colOff>381001</xdr:colOff>
      <xdr:row>32</xdr:row>
      <xdr:rowOff>10583</xdr:rowOff>
    </xdr:to>
    <xdr:sp macro="" textlink="">
      <xdr:nvSpPr>
        <xdr:cNvPr id="3" name="TextBox 2">
          <a:extLst>
            <a:ext uri="{FF2B5EF4-FFF2-40B4-BE49-F238E27FC236}">
              <a16:creationId xmlns:a16="http://schemas.microsoft.com/office/drawing/2014/main" id="{4EA0D93B-8357-413B-B1D4-EA61B1A2F70E}"/>
            </a:ext>
          </a:extLst>
        </xdr:cNvPr>
        <xdr:cNvSpPr txBox="1"/>
      </xdr:nvSpPr>
      <xdr:spPr>
        <a:xfrm>
          <a:off x="9270379" y="385980"/>
          <a:ext cx="4244539" cy="4503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AU" sz="800" b="1" baseline="0">
              <a:solidFill>
                <a:schemeClr val="dk1"/>
              </a:solidFill>
              <a:latin typeface="+mn-lt"/>
              <a:ea typeface="+mn-ea"/>
              <a:cs typeface="+mn-cs"/>
            </a:rPr>
            <a:t>Disclaimer</a:t>
          </a:r>
        </a:p>
        <a:p>
          <a:pPr rtl="0"/>
          <a:r>
            <a:rPr lang="en-AU" sz="800" baseline="0">
              <a:solidFill>
                <a:schemeClr val="dk1"/>
              </a:solidFill>
              <a:latin typeface="+mn-lt"/>
              <a:ea typeface="+mn-ea"/>
              <a:cs typeface="+mn-cs"/>
            </a:rPr>
            <a:t>This </a:t>
          </a:r>
          <a:r>
            <a:rPr lang="en-AU" sz="800" baseline="0">
              <a:solidFill>
                <a:sysClr val="windowText" lastClr="000000"/>
              </a:solidFill>
              <a:latin typeface="+mn-lt"/>
              <a:ea typeface="+mn-ea"/>
              <a:cs typeface="+mn-cs"/>
            </a:rPr>
            <a:t>model is a confidential document that has been prepared by SGS Economics &amp; Planning Pty Ltd (SGS). This model has been provided at the request </a:t>
          </a:r>
          <a:r>
            <a:rPr lang="en-AU" sz="800" b="1" baseline="0">
              <a:solidFill>
                <a:sysClr val="windowText" lastClr="000000"/>
              </a:solidFill>
              <a:latin typeface="+mn-lt"/>
              <a:ea typeface="+mn-ea"/>
              <a:cs typeface="+mn-cs"/>
            </a:rPr>
            <a:t>of Fitzgerald Frisby Landscape Architecture (FFLA)</a:t>
          </a:r>
          <a:r>
            <a:rPr lang="en-AU" sz="800" baseline="0">
              <a:solidFill>
                <a:sysClr val="windowText" lastClr="000000"/>
              </a:solidFill>
              <a:latin typeface="+mn-lt"/>
              <a:ea typeface="+mn-ea"/>
              <a:cs typeface="+mn-cs"/>
            </a:rPr>
            <a:t> </a:t>
          </a:r>
          <a:r>
            <a:rPr lang="en-AU" sz="800" b="0" baseline="0">
              <a:solidFill>
                <a:sysClr val="windowText" lastClr="000000"/>
              </a:solidFill>
              <a:latin typeface="+mn-lt"/>
              <a:ea typeface="+mn-ea"/>
              <a:cs typeface="+mn-cs"/>
            </a:rPr>
            <a:t>in </a:t>
          </a:r>
          <a:r>
            <a:rPr lang="en-AU" sz="800" baseline="0">
              <a:solidFill>
                <a:sysClr val="windowText" lastClr="000000"/>
              </a:solidFill>
              <a:latin typeface="+mn-lt"/>
              <a:ea typeface="+mn-ea"/>
              <a:cs typeface="+mn-cs"/>
            </a:rPr>
            <a:t>relation to the </a:t>
          </a:r>
          <a:r>
            <a:rPr lang="en-AU" sz="800" b="1" baseline="0">
              <a:solidFill>
                <a:sysClr val="windowText" lastClr="000000"/>
              </a:solidFill>
              <a:latin typeface="+mn-lt"/>
              <a:ea typeface="+mn-ea"/>
              <a:cs typeface="+mn-cs"/>
            </a:rPr>
            <a:t>Northern Regional Trails Project </a:t>
          </a:r>
          <a:r>
            <a:rPr lang="en-AU" sz="800" baseline="0">
              <a:solidFill>
                <a:sysClr val="windowText" lastClr="000000"/>
              </a:solidFill>
              <a:latin typeface="+mn-lt"/>
              <a:ea typeface="+mn-ea"/>
              <a:cs typeface="+mn-cs"/>
            </a:rPr>
            <a:t>('the Project').  </a:t>
          </a:r>
        </a:p>
        <a:p>
          <a:pPr rtl="0"/>
          <a:endParaRPr lang="en-AU" sz="800" baseline="0">
            <a:solidFill>
              <a:sysClr val="windowText" lastClr="000000"/>
            </a:solidFill>
            <a:latin typeface="+mn-lt"/>
            <a:ea typeface="+mn-ea"/>
            <a:cs typeface="+mn-cs"/>
          </a:endParaRPr>
        </a:p>
        <a:p>
          <a:pPr rtl="0"/>
          <a:r>
            <a:rPr lang="en-AU" sz="800" baseline="0">
              <a:solidFill>
                <a:sysClr val="windowText" lastClr="000000"/>
              </a:solidFill>
              <a:latin typeface="+mn-lt"/>
              <a:ea typeface="+mn-ea"/>
              <a:cs typeface="+mn-cs"/>
            </a:rPr>
            <a:t>The analysis contained in this model has been prepared by SGS based on SGS' own information, as well as information provided by </a:t>
          </a:r>
          <a:r>
            <a:rPr lang="en-AU" sz="800" b="1" baseline="0">
              <a:solidFill>
                <a:sysClr val="windowText" lastClr="000000"/>
              </a:solidFill>
              <a:latin typeface="+mn-lt"/>
              <a:ea typeface="+mn-ea"/>
              <a:cs typeface="+mn-cs"/>
            </a:rPr>
            <a:t>FFLA </a:t>
          </a:r>
          <a:r>
            <a:rPr lang="en-AU" sz="800" baseline="0">
              <a:solidFill>
                <a:sysClr val="windowText" lastClr="000000"/>
              </a:solidFill>
              <a:latin typeface="+mn-lt"/>
              <a:ea typeface="+mn-ea"/>
              <a:cs typeface="+mn-cs"/>
            </a:rPr>
            <a:t>and </a:t>
          </a:r>
          <a:r>
            <a:rPr lang="en-AU" sz="800" b="1" baseline="0">
              <a:solidFill>
                <a:sysClr val="windowText" lastClr="000000"/>
              </a:solidFill>
              <a:latin typeface="+mn-lt"/>
              <a:ea typeface="+mn-ea"/>
              <a:cs typeface="+mn-cs"/>
            </a:rPr>
            <a:t>third parties</a:t>
          </a:r>
          <a:r>
            <a:rPr lang="en-AU" sz="800" baseline="0">
              <a:solidFill>
                <a:sysClr val="windowText" lastClr="000000"/>
              </a:solidFill>
              <a:latin typeface="+mn-lt"/>
              <a:ea typeface="+mn-ea"/>
              <a:cs typeface="+mn-cs"/>
            </a:rPr>
            <a:t> including </a:t>
          </a:r>
          <a:r>
            <a:rPr lang="en-AU" sz="800" b="1" baseline="0">
              <a:solidFill>
                <a:sysClr val="windowText" lastClr="000000"/>
              </a:solidFill>
              <a:latin typeface="+mn-lt"/>
              <a:ea typeface="+mn-ea"/>
              <a:cs typeface="+mn-cs"/>
            </a:rPr>
            <a:t>relevant local governments</a:t>
          </a:r>
        </a:p>
        <a:p>
          <a:pPr rtl="0"/>
          <a:endParaRPr lang="en-AU" sz="800" baseline="0">
            <a:solidFill>
              <a:sysClr val="windowText" lastClr="000000"/>
            </a:solidFill>
            <a:latin typeface="+mn-lt"/>
            <a:ea typeface="+mn-ea"/>
            <a:cs typeface="+mn-cs"/>
          </a:endParaRPr>
        </a:p>
        <a:p>
          <a:pPr rtl="0"/>
          <a:r>
            <a:rPr lang="en-AU" sz="800" baseline="0">
              <a:solidFill>
                <a:sysClr val="windowText" lastClr="000000"/>
              </a:solidFill>
              <a:latin typeface="+mn-lt"/>
              <a:ea typeface="+mn-ea"/>
              <a:cs typeface="+mn-cs"/>
            </a:rPr>
            <a:t>No verification of the information provided by </a:t>
          </a:r>
          <a:r>
            <a:rPr lang="en-AU" sz="800" b="1" baseline="0">
              <a:solidFill>
                <a:sysClr val="windowText" lastClr="000000"/>
              </a:solidFill>
              <a:latin typeface="+mn-lt"/>
              <a:ea typeface="+mn-ea"/>
              <a:cs typeface="+mn-cs"/>
            </a:rPr>
            <a:t>FFLA</a:t>
          </a:r>
          <a:r>
            <a:rPr lang="en-AU" sz="800" b="0" baseline="0">
              <a:solidFill>
                <a:sysClr val="windowText" lastClr="000000"/>
              </a:solidFill>
              <a:latin typeface="+mn-lt"/>
              <a:ea typeface="+mn-ea"/>
              <a:cs typeface="+mn-cs"/>
            </a:rPr>
            <a:t>or other third parties</a:t>
          </a:r>
          <a:r>
            <a:rPr lang="en-AU" sz="800" baseline="0">
              <a:solidFill>
                <a:sysClr val="windowText" lastClr="000000"/>
              </a:solidFill>
              <a:latin typeface="+mn-lt"/>
              <a:ea typeface="+mn-ea"/>
              <a:cs typeface="+mn-cs"/>
            </a:rPr>
            <a:t> has been carried out by SGS, and in particular, SGS has not undertaken any review of the information supplied or made available during the course of the engagement. This model does not purport to contain all the information that </a:t>
          </a:r>
          <a:r>
            <a:rPr lang="en-AU" sz="800" b="1" baseline="0">
              <a:solidFill>
                <a:sysClr val="windowText" lastClr="000000"/>
              </a:solidFill>
              <a:latin typeface="+mn-lt"/>
              <a:ea typeface="+mn-ea"/>
              <a:cs typeface="+mn-cs"/>
            </a:rPr>
            <a:t>FFLA and the client group </a:t>
          </a:r>
          <a:r>
            <a:rPr lang="en-AU" sz="800" baseline="0">
              <a:solidFill>
                <a:sysClr val="windowText" lastClr="000000"/>
              </a:solidFill>
              <a:latin typeface="+mn-lt"/>
              <a:ea typeface="+mn-ea"/>
              <a:cs typeface="+mn-cs"/>
            </a:rPr>
            <a:t>may require in considering the Project.</a:t>
          </a:r>
        </a:p>
        <a:p>
          <a:pPr rtl="0"/>
          <a:endParaRPr lang="en-AU" sz="800" baseline="0">
            <a:solidFill>
              <a:sysClr val="windowText" lastClr="000000"/>
            </a:solidFill>
            <a:latin typeface="+mn-lt"/>
            <a:ea typeface="+mn-ea"/>
            <a:cs typeface="+mn-cs"/>
          </a:endParaRPr>
        </a:p>
        <a:p>
          <a:pPr rtl="0"/>
          <a:r>
            <a:rPr lang="en-AU" sz="800" baseline="0">
              <a:solidFill>
                <a:sysClr val="windowText" lastClr="000000"/>
              </a:solidFill>
              <a:latin typeface="+mn-lt"/>
              <a:ea typeface="+mn-ea"/>
              <a:cs typeface="+mn-cs"/>
            </a:rPr>
            <a:t>SGS has based this report on the assumption that the information received or obtained is accurate and, where it is represented by management as such, complete. SGS makes no express or implied representation or warranty as to the accuracy, reliability or completeness of the information provided. </a:t>
          </a:r>
        </a:p>
        <a:p>
          <a:pPr rtl="0"/>
          <a:endParaRPr lang="en-AU" sz="800" baseline="0">
            <a:solidFill>
              <a:sysClr val="windowText" lastClr="000000"/>
            </a:solidFill>
            <a:latin typeface="+mn-lt"/>
            <a:ea typeface="+mn-ea"/>
            <a:cs typeface="+mn-cs"/>
          </a:endParaRPr>
        </a:p>
        <a:p>
          <a:pPr rtl="0"/>
          <a:r>
            <a:rPr lang="en-AU" sz="800" baseline="0">
              <a:solidFill>
                <a:sysClr val="windowText" lastClr="000000"/>
              </a:solidFill>
              <a:latin typeface="+mn-lt"/>
              <a:ea typeface="+mn-ea"/>
              <a:cs typeface="+mn-cs"/>
            </a:rPr>
            <a:t>SGS may in its absolute discretion, but without being under any obligation to do so, update or adjust this model, or any inputs that are used within this model.</a:t>
          </a:r>
        </a:p>
        <a:p>
          <a:pPr rtl="0"/>
          <a:endParaRPr lang="en-AU" sz="800" baseline="0">
            <a:solidFill>
              <a:sysClr val="windowText" lastClr="000000"/>
            </a:solidFill>
            <a:latin typeface="+mn-lt"/>
            <a:ea typeface="+mn-ea"/>
            <a:cs typeface="+mn-cs"/>
          </a:endParaRPr>
        </a:p>
        <a:p>
          <a:pPr rtl="0"/>
          <a:r>
            <a:rPr lang="en-AU" sz="800" baseline="0">
              <a:solidFill>
                <a:sysClr val="windowText" lastClr="000000"/>
              </a:solidFill>
              <a:latin typeface="+mn-lt"/>
              <a:ea typeface="+mn-ea"/>
              <a:cs typeface="+mn-cs"/>
            </a:rPr>
            <a:t>SGS will not provide any express or implied opinion (and assumes no responsibility) as to whether actual results will be consistent with, or reflect the results of, any of the outputs generated by this model. </a:t>
          </a:r>
        </a:p>
        <a:p>
          <a:pPr rtl="0"/>
          <a:endParaRPr lang="en-AU" sz="800" baseline="0">
            <a:solidFill>
              <a:sysClr val="windowText" lastClr="000000"/>
            </a:solidFill>
            <a:latin typeface="+mn-lt"/>
            <a:ea typeface="+mn-ea"/>
            <a:cs typeface="+mn-cs"/>
          </a:endParaRPr>
        </a:p>
        <a:p>
          <a:pPr rtl="0"/>
          <a:r>
            <a:rPr lang="en-AU" sz="800" baseline="0">
              <a:solidFill>
                <a:sysClr val="windowText" lastClr="000000"/>
              </a:solidFill>
              <a:latin typeface="+mn-lt"/>
              <a:ea typeface="+mn-ea"/>
              <a:cs typeface="+mn-cs"/>
            </a:rPr>
            <a:t>SGS has taken all due care in the preparation of this model. However, SGS and its associated consultants are not liable to any person or entity for any damage or loss that has occurred, or may occur, in relation to that person or entity taking or not taking action in respect of the outputs generated by this model. </a:t>
          </a:r>
        </a:p>
        <a:p>
          <a:pPr rtl="0"/>
          <a:endParaRPr lang="en-AU" sz="800" baseline="0">
            <a:solidFill>
              <a:sysClr val="windowText" lastClr="000000"/>
            </a:solidFill>
            <a:latin typeface="+mn-lt"/>
            <a:ea typeface="+mn-ea"/>
            <a:cs typeface="+mn-cs"/>
          </a:endParaRPr>
        </a:p>
        <a:p>
          <a:pPr rtl="0"/>
          <a:r>
            <a:rPr lang="en-AU" sz="800" baseline="0">
              <a:solidFill>
                <a:sysClr val="windowText" lastClr="000000"/>
              </a:solidFill>
              <a:latin typeface="+mn-lt"/>
              <a:ea typeface="+mn-ea"/>
              <a:cs typeface="+mn-cs"/>
            </a:rPr>
            <a:t>This model is for the sole use of </a:t>
          </a:r>
          <a:r>
            <a:rPr lang="en-AU" sz="800" b="1" baseline="0">
              <a:solidFill>
                <a:sysClr val="windowText" lastClr="000000"/>
              </a:solidFill>
              <a:latin typeface="+mn-lt"/>
              <a:ea typeface="+mn-ea"/>
              <a:cs typeface="+mn-cs"/>
            </a:rPr>
            <a:t>FFLA and the client group </a:t>
          </a:r>
          <a:r>
            <a:rPr lang="en-AU" sz="800" baseline="0">
              <a:solidFill>
                <a:sysClr val="windowText" lastClr="000000"/>
              </a:solidFill>
              <a:latin typeface="+mn-lt"/>
              <a:ea typeface="+mn-ea"/>
              <a:cs typeface="+mn-cs"/>
            </a:rPr>
            <a:t>in assisting with the decision-making process relating to </a:t>
          </a:r>
          <a:r>
            <a:rPr lang="en-AU" sz="800" b="0" baseline="0">
              <a:solidFill>
                <a:sysClr val="windowText" lastClr="000000"/>
              </a:solidFill>
              <a:latin typeface="+mn-lt"/>
              <a:ea typeface="+mn-ea"/>
              <a:cs typeface="+mn-cs"/>
            </a:rPr>
            <a:t>the Project</a:t>
          </a:r>
          <a:r>
            <a:rPr lang="en-AU" sz="800" b="1" baseline="0">
              <a:solidFill>
                <a:sysClr val="windowText" lastClr="000000"/>
              </a:solidFill>
              <a:latin typeface="+mn-lt"/>
              <a:ea typeface="+mn-ea"/>
              <a:cs typeface="+mn-cs"/>
            </a:rPr>
            <a:t>.</a:t>
          </a:r>
          <a:r>
            <a:rPr lang="en-AU" sz="800" baseline="0">
              <a:solidFill>
                <a:sysClr val="windowText" lastClr="000000"/>
              </a:solidFill>
              <a:latin typeface="+mn-lt"/>
              <a:ea typeface="+mn-ea"/>
              <a:cs typeface="+mn-cs"/>
            </a:rPr>
            <a:t> All information contained in this model is strictly confidential and must not be copied, reproduced, distributed, disseminated </a:t>
          </a:r>
          <a:r>
            <a:rPr lang="en-AU" sz="800" baseline="0">
              <a:solidFill>
                <a:schemeClr val="dk1"/>
              </a:solidFill>
              <a:latin typeface="+mn-lt"/>
              <a:ea typeface="+mn-ea"/>
              <a:cs typeface="+mn-cs"/>
            </a:rPr>
            <a:t>or used, in whole or in part, for any purpose other than as detailed above without SGS' explicit written permission. </a:t>
          </a:r>
        </a:p>
        <a:p>
          <a:pPr rtl="0"/>
          <a:endParaRPr lang="en-AU" sz="800" baseline="0">
            <a:solidFill>
              <a:schemeClr val="dk1"/>
            </a:solidFill>
            <a:latin typeface="+mn-lt"/>
            <a:ea typeface="+mn-ea"/>
            <a:cs typeface="+mn-cs"/>
          </a:endParaRPr>
        </a:p>
        <a:p>
          <a:pPr rtl="0"/>
          <a:endParaRPr lang="en-AU" sz="80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374650</xdr:colOff>
      <xdr:row>3</xdr:row>
      <xdr:rowOff>120650</xdr:rowOff>
    </xdr:from>
    <xdr:to>
      <xdr:col>8</xdr:col>
      <xdr:colOff>99913</xdr:colOff>
      <xdr:row>38</xdr:row>
      <xdr:rowOff>121612</xdr:rowOff>
    </xdr:to>
    <xdr:sp macro="" textlink="">
      <xdr:nvSpPr>
        <xdr:cNvPr id="2" name="TextBox 1">
          <a:extLst>
            <a:ext uri="{FF2B5EF4-FFF2-40B4-BE49-F238E27FC236}">
              <a16:creationId xmlns:a16="http://schemas.microsoft.com/office/drawing/2014/main" id="{E24D3297-4169-485C-A4CE-3848911A979E}"/>
            </a:ext>
          </a:extLst>
        </xdr:cNvPr>
        <xdr:cNvSpPr txBox="1"/>
      </xdr:nvSpPr>
      <xdr:spPr>
        <a:xfrm>
          <a:off x="374650" y="781050"/>
          <a:ext cx="3878163" cy="466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AU" sz="800" b="1" baseline="0">
              <a:solidFill>
                <a:schemeClr val="dk1"/>
              </a:solidFill>
              <a:latin typeface="+mn-lt"/>
              <a:ea typeface="+mn-ea"/>
              <a:cs typeface="+mn-cs"/>
            </a:rPr>
            <a:t>Model explanation</a:t>
          </a:r>
        </a:p>
        <a:p>
          <a:pPr rtl="0"/>
          <a:r>
            <a:rPr lang="en-AU" sz="800" b="0" baseline="0">
              <a:solidFill>
                <a:schemeClr val="dk1"/>
              </a:solidFill>
              <a:latin typeface="+mn-lt"/>
              <a:ea typeface="+mn-ea"/>
              <a:cs typeface="+mn-cs"/>
            </a:rPr>
            <a:t>A cost-benefit analysis (CBA) is a systematic process used to evaluate the costs and benefits associated with a particular decision, project, or policy. It helps decision-makers determine whether the potential benefits of an action outweigh its costs.</a:t>
          </a:r>
        </a:p>
        <a:p>
          <a:pPr rtl="0"/>
          <a:r>
            <a:rPr lang="en-AU" sz="800" b="1" baseline="0">
              <a:solidFill>
                <a:schemeClr val="dk1"/>
              </a:solidFill>
              <a:latin typeface="+mn-lt"/>
              <a:ea typeface="+mn-ea"/>
              <a:cs typeface="+mn-cs"/>
            </a:rPr>
            <a:t>General</a:t>
          </a:r>
        </a:p>
        <a:p>
          <a:pPr rtl="0"/>
          <a:r>
            <a:rPr lang="en-AU" sz="800" b="0" baseline="0">
              <a:solidFill>
                <a:schemeClr val="dk1"/>
              </a:solidFill>
              <a:latin typeface="+mn-lt"/>
              <a:ea typeface="+mn-ea"/>
              <a:cs typeface="+mn-cs"/>
            </a:rPr>
            <a:t>In this section of the model, the timeframe of the project being considered should be set out along with assumptions around outcomes and discounted cash flows.</a:t>
          </a:r>
        </a:p>
        <a:p>
          <a:pPr rtl="0"/>
          <a:r>
            <a:rPr lang="en-AU" sz="800" b="1" baseline="0">
              <a:solidFill>
                <a:schemeClr val="dk1"/>
              </a:solidFill>
              <a:latin typeface="+mn-lt"/>
              <a:ea typeface="+mn-ea"/>
              <a:cs typeface="+mn-cs"/>
            </a:rPr>
            <a:t>Costs</a:t>
          </a:r>
        </a:p>
        <a:p>
          <a:pPr rtl="0"/>
          <a:r>
            <a:rPr lang="en-AU" sz="800" b="0" baseline="0">
              <a:solidFill>
                <a:schemeClr val="dk1"/>
              </a:solidFill>
              <a:latin typeface="+mn-lt"/>
              <a:ea typeface="+mn-ea"/>
              <a:cs typeface="+mn-cs"/>
            </a:rPr>
            <a:t>This section should identify all costs associated with the project including direct costs, indirect costs, opportunity costs and external costs. Monetary values should be attributed to all the identified costs.</a:t>
          </a:r>
        </a:p>
        <a:p>
          <a:pPr rtl="0"/>
          <a:r>
            <a:rPr lang="en-AU" sz="800" b="1" baseline="0">
              <a:solidFill>
                <a:schemeClr val="dk1"/>
              </a:solidFill>
              <a:latin typeface="+mn-lt"/>
              <a:ea typeface="+mn-ea"/>
              <a:cs typeface="+mn-cs"/>
            </a:rPr>
            <a:t>Benefits</a:t>
          </a:r>
        </a:p>
        <a:p>
          <a:pPr rtl="0"/>
          <a:r>
            <a:rPr lang="en-AU" sz="800" b="0" baseline="0">
              <a:solidFill>
                <a:schemeClr val="dk1"/>
              </a:solidFill>
              <a:latin typeface="+mn-lt"/>
              <a:ea typeface="+mn-ea"/>
              <a:cs typeface="+mn-cs"/>
            </a:rPr>
            <a:t>This section should identify all benefits attributed to the project and assign monetary values to the benefits identified.</a:t>
          </a:r>
        </a:p>
        <a:p>
          <a:pPr rtl="0"/>
          <a:r>
            <a:rPr lang="en-AU" sz="800" b="1" baseline="0">
              <a:solidFill>
                <a:schemeClr val="dk1"/>
              </a:solidFill>
              <a:latin typeface="+mn-lt"/>
              <a:ea typeface="+mn-ea"/>
              <a:cs typeface="+mn-cs"/>
            </a:rPr>
            <a:t>Outputs</a:t>
          </a:r>
        </a:p>
        <a:p>
          <a:pPr rtl="0"/>
          <a:r>
            <a:rPr lang="en-AU" sz="800" b="0" baseline="0">
              <a:solidFill>
                <a:schemeClr val="dk1"/>
              </a:solidFill>
              <a:latin typeface="+mn-lt"/>
              <a:ea typeface="+mn-ea"/>
              <a:cs typeface="+mn-cs"/>
            </a:rPr>
            <a:t>A discounted cash flow (DCF) analysis is shown in the outputs. A DCF involves forecasting and discounting the projected future cash flows generated by the project to their present value. The DCF analysis helps determine the net present value (NPV) of an investment, which indicates whether the investment is expected to generate a positive or negative return. The Benefit Cost Ratio (BCR) is calculated using the total costs and benefits.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751415</xdr:colOff>
      <xdr:row>75</xdr:row>
      <xdr:rowOff>116416</xdr:rowOff>
    </xdr:from>
    <xdr:to>
      <xdr:col>21</xdr:col>
      <xdr:colOff>550333</xdr:colOff>
      <xdr:row>95</xdr:row>
      <xdr:rowOff>73389</xdr:rowOff>
    </xdr:to>
    <xdr:pic>
      <xdr:nvPicPr>
        <xdr:cNvPr id="2" name="Picture 1">
          <a:extLst>
            <a:ext uri="{FF2B5EF4-FFF2-40B4-BE49-F238E27FC236}">
              <a16:creationId xmlns:a16="http://schemas.microsoft.com/office/drawing/2014/main" id="{469C532F-84BA-4B42-BA1D-2F94C9B9A76B}"/>
            </a:ext>
          </a:extLst>
        </xdr:cNvPr>
        <xdr:cNvPicPr>
          <a:picLocks noChangeAspect="1"/>
        </xdr:cNvPicPr>
      </xdr:nvPicPr>
      <xdr:blipFill>
        <a:blip xmlns:r="http://schemas.openxmlformats.org/officeDocument/2006/relationships" r:embed="rId1"/>
        <a:stretch>
          <a:fillRect/>
        </a:stretch>
      </xdr:blipFill>
      <xdr:spPr>
        <a:xfrm>
          <a:off x="11800415" y="9800166"/>
          <a:ext cx="2338918" cy="2920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457199</xdr:colOff>
      <xdr:row>50</xdr:row>
      <xdr:rowOff>52386</xdr:rowOff>
    </xdr:from>
    <xdr:to>
      <xdr:col>19</xdr:col>
      <xdr:colOff>417449</xdr:colOff>
      <xdr:row>71</xdr:row>
      <xdr:rowOff>112011</xdr:rowOff>
    </xdr:to>
    <xdr:graphicFrame macro="">
      <xdr:nvGraphicFramePr>
        <xdr:cNvPr id="3" name="Chart 2">
          <a:extLst>
            <a:ext uri="{FF2B5EF4-FFF2-40B4-BE49-F238E27FC236}">
              <a16:creationId xmlns:a16="http://schemas.microsoft.com/office/drawing/2014/main" id="{FD35332E-42B2-4AA6-AB5B-30F4C95C39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SPL.local\DFS\Company\Synergy\Projects\2020\20200512%20FFLA%20-%20Northern%20Regional%20Trails%20CBA\Analysis\CBA\20200512_CBA(v1)_20211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puts &amp; early calcs&gt;"/>
      <sheetName val="General"/>
      <sheetName val="CAPEX_In"/>
      <sheetName val="OPEX_In"/>
      <sheetName val="Benefit_In"/>
      <sheetName val="Trail use&gt;"/>
      <sheetName val="Km+hr travelled"/>
      <sheetName val="Annualised calcs &gt;"/>
      <sheetName val="CAPEX"/>
      <sheetName val="OPEX"/>
      <sheetName val="Benefits"/>
      <sheetName val="Outputs&gt;"/>
      <sheetName val="Tables"/>
      <sheetName val="DCF"/>
      <sheetName val="Sens tests&gt;"/>
      <sheetName val="4%"/>
      <sheetName val="10%"/>
      <sheetName val="Best+Worst"/>
    </sheetNames>
    <sheetDataSet>
      <sheetData sheetId="0"/>
      <sheetData sheetId="1"/>
      <sheetData sheetId="2"/>
      <sheetData sheetId="3"/>
      <sheetData sheetId="4"/>
      <sheetData sheetId="5"/>
      <sheetData sheetId="6"/>
      <sheetData sheetId="7"/>
      <sheetData sheetId="8"/>
      <sheetData sheetId="9"/>
      <sheetData sheetId="10"/>
      <sheetData sheetId="11">
        <row r="30">
          <cell r="N30">
            <v>9550810.85059366</v>
          </cell>
        </row>
        <row r="31">
          <cell r="N31">
            <v>12397277.316416973</v>
          </cell>
        </row>
        <row r="32">
          <cell r="N32">
            <v>2846466.4658233132</v>
          </cell>
        </row>
        <row r="33">
          <cell r="N33">
            <v>20993105.517200742</v>
          </cell>
        </row>
        <row r="34">
          <cell r="N34">
            <v>27249764.957219701</v>
          </cell>
        </row>
        <row r="35">
          <cell r="N35">
            <v>6256659.4400189593</v>
          </cell>
        </row>
        <row r="36">
          <cell r="N36">
            <v>30543916.367794402</v>
          </cell>
        </row>
        <row r="37">
          <cell r="N37">
            <v>39647042.273636676</v>
          </cell>
        </row>
        <row r="38">
          <cell r="N38">
            <v>9103125.9058422726</v>
          </cell>
        </row>
        <row r="42">
          <cell r="N42">
            <v>1496873.2185957546</v>
          </cell>
        </row>
        <row r="43">
          <cell r="N43">
            <v>1942992.3478482184</v>
          </cell>
        </row>
        <row r="44">
          <cell r="N44">
            <v>446119.12925246381</v>
          </cell>
        </row>
        <row r="48">
          <cell r="N48">
            <v>18471000.913446549</v>
          </cell>
        </row>
        <row r="49">
          <cell r="N49">
            <v>23975987.402321402</v>
          </cell>
        </row>
        <row r="50">
          <cell r="N50">
            <v>5504986.4888748527</v>
          </cell>
        </row>
      </sheetData>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GS Excel Template Colour Palette">
  <a:themeElements>
    <a:clrScheme name="SGS Excel Template Pallette">
      <a:dk1>
        <a:srgbClr val="000000"/>
      </a:dk1>
      <a:lt1>
        <a:sysClr val="window" lastClr="FFFFFF"/>
      </a:lt1>
      <a:dk2>
        <a:srgbClr val="65665D"/>
      </a:dk2>
      <a:lt2>
        <a:srgbClr val="B2A7A1"/>
      </a:lt2>
      <a:accent1>
        <a:srgbClr val="80BC00"/>
      </a:accent1>
      <a:accent2>
        <a:srgbClr val="10CFC9"/>
      </a:accent2>
      <a:accent3>
        <a:srgbClr val="ECD925"/>
      </a:accent3>
      <a:accent4>
        <a:srgbClr val="F18A00"/>
      </a:accent4>
      <a:accent5>
        <a:srgbClr val="D71344"/>
      </a:accent5>
      <a:accent6>
        <a:srgbClr val="323E48"/>
      </a:accent6>
      <a:hlink>
        <a:srgbClr val="0070C0"/>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25400" cap="flat" cmpd="sng" algn="ctr">
          <a:solidFill>
            <a:srgbClr val="000000"/>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US" sz="4800" b="0" i="0" u="none" strike="noStrike" cap="none" normalizeH="0" baseline="0" smtClean="0">
            <a:ln>
              <a:noFill/>
            </a:ln>
            <a:solidFill>
              <a:srgbClr val="000000"/>
            </a:solidFill>
            <a:effectLst/>
            <a:latin typeface="GillSans" charset="0"/>
            <a:ea typeface="ヒラギノ角ゴ ProN W3" charset="0"/>
            <a:cs typeface="ヒラギノ角ゴ ProN W3" charset="0"/>
            <a:sym typeface="GillSans" charset="0"/>
          </a:defRPr>
        </a:defPPr>
      </a:lstStyle>
    </a:spDef>
    <a:ln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25400" cap="flat" cmpd="sng" algn="ctr">
          <a:solidFill>
            <a:srgbClr val="000000"/>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US" sz="4800" b="0" i="0" u="none" strike="noStrike" cap="none" normalizeH="0" baseline="0" smtClean="0">
            <a:ln>
              <a:noFill/>
            </a:ln>
            <a:solidFill>
              <a:srgbClr val="000000"/>
            </a:solidFill>
            <a:effectLst/>
            <a:latin typeface="GillSans" charset="0"/>
            <a:ea typeface="ヒラギノ角ゴ ProN W3" charset="0"/>
            <a:cs typeface="ヒラギノ角ゴ ProN W3" charset="0"/>
            <a:sym typeface="GillSans" charset="0"/>
          </a:defRPr>
        </a:defPPr>
      </a:lstStyle>
    </a:lnDef>
  </a:objectDefaults>
  <a:extraClrSchemeLst>
    <a:extraClrScheme>
      <a:clrScheme name="Title &amp; Subtitl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SGSTheme" id="{8F7CD8FA-49DB-427E-82D6-C5F597436598}" vid="{E5709DA8-BA56-456B-9B68-02C84337223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ba.gov.au/calculator/quarterDecimal.html" TargetMode="External"/><Relationship Id="rId2" Type="http://schemas.openxmlformats.org/officeDocument/2006/relationships/hyperlink" Target="https://www.infrastructureaustralia.gov.au/sites/default/files/2019-06/infrastructure_australia_assessment_framework_2018.pdf" TargetMode="External"/><Relationship Id="rId1" Type="http://schemas.openxmlformats.org/officeDocument/2006/relationships/hyperlink" Target="https://www.infrastructureaustralia.gov.au/sites/default/files/2019-06/infrastructure_australia_assessment_framework_2018.pdf"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theage.com.au/national/victoria/car-parks-out-footpaths-and-cycling-lanes-in-as-city-prepares-for-post-covid-commuters-20200507-p54qrp.html" TargetMode="External"/><Relationship Id="rId2" Type="http://schemas.openxmlformats.org/officeDocument/2006/relationships/hyperlink" Target="../../../Synergy/Projects/2020/20200512%20FFLA%20-%20Northern%20Regional%20Trails%20CBA/Raw%20inputs/Survey%20data" TargetMode="External"/><Relationship Id="rId1" Type="http://schemas.openxmlformats.org/officeDocument/2006/relationships/hyperlink" Target="../../../Synergy/Projects/2020/20200512%20FFLA%20-%20Northern%20Regional%20Trails%20CBA/Raw%20inputs/Trail%20count%20data" TargetMode="External"/><Relationship Id="rId5" Type="http://schemas.openxmlformats.org/officeDocument/2006/relationships/drawing" Target="../drawings/drawing3.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C11:I53"/>
  <sheetViews>
    <sheetView showGridLines="0" tabSelected="1" workbookViewId="0">
      <selection activeCell="F14" sqref="F14"/>
    </sheetView>
  </sheetViews>
  <sheetFormatPr defaultColWidth="9.375" defaultRowHeight="10.5" x14ac:dyDescent="0.25"/>
  <cols>
    <col min="1" max="1" width="10.625" customWidth="1"/>
    <col min="2" max="2" width="2.625" customWidth="1"/>
    <col min="3" max="3" width="9.875" customWidth="1"/>
    <col min="4" max="4" width="18" style="2" customWidth="1"/>
    <col min="5" max="9" width="18" customWidth="1"/>
  </cols>
  <sheetData>
    <row r="11" spans="4:4" ht="15.5" x14ac:dyDescent="0.35">
      <c r="D11" s="35" t="s">
        <v>947</v>
      </c>
    </row>
    <row r="12" spans="4:4" x14ac:dyDescent="0.25">
      <c r="D12" s="36"/>
    </row>
    <row r="13" spans="4:4" ht="14.5" x14ac:dyDescent="0.35">
      <c r="D13" s="37" t="s">
        <v>89</v>
      </c>
    </row>
    <row r="14" spans="4:4" x14ac:dyDescent="0.25">
      <c r="D14" s="38"/>
    </row>
    <row r="15" spans="4:4" x14ac:dyDescent="0.25">
      <c r="D15" s="36"/>
    </row>
    <row r="16" spans="4:4" x14ac:dyDescent="0.25">
      <c r="D16"/>
    </row>
    <row r="17" spans="3:9" x14ac:dyDescent="0.25">
      <c r="D17"/>
    </row>
    <row r="18" spans="3:9" x14ac:dyDescent="0.25">
      <c r="D18"/>
    </row>
    <row r="19" spans="3:9" x14ac:dyDescent="0.25">
      <c r="D19"/>
    </row>
    <row r="20" spans="3:9" ht="11" thickBot="1" x14ac:dyDescent="0.3">
      <c r="C20" s="1" t="s">
        <v>53</v>
      </c>
      <c r="D20" s="1" t="s">
        <v>52</v>
      </c>
      <c r="E20" s="1" t="s">
        <v>54</v>
      </c>
      <c r="F20" s="1" t="s">
        <v>55</v>
      </c>
      <c r="G20" s="1" t="s">
        <v>56</v>
      </c>
      <c r="H20" s="1" t="s">
        <v>57</v>
      </c>
      <c r="I20" s="1" t="s">
        <v>58</v>
      </c>
    </row>
    <row r="21" spans="3:9" x14ac:dyDescent="0.25">
      <c r="C21" s="29">
        <v>1</v>
      </c>
      <c r="D21" s="30"/>
      <c r="I21" s="28"/>
    </row>
    <row r="22" spans="3:9" x14ac:dyDescent="0.25">
      <c r="C22" s="29">
        <v>2</v>
      </c>
      <c r="D22" s="30"/>
      <c r="I22" s="28"/>
    </row>
    <row r="23" spans="3:9" x14ac:dyDescent="0.25">
      <c r="C23" s="29">
        <v>3</v>
      </c>
      <c r="D23" s="30"/>
      <c r="I23" s="28"/>
    </row>
    <row r="24" spans="3:9" x14ac:dyDescent="0.25">
      <c r="C24" s="29">
        <v>4</v>
      </c>
      <c r="D24" s="30"/>
      <c r="I24" s="28"/>
    </row>
    <row r="25" spans="3:9" x14ac:dyDescent="0.25">
      <c r="C25" s="29"/>
      <c r="D25" s="30"/>
      <c r="I25" s="28"/>
    </row>
    <row r="26" spans="3:9" x14ac:dyDescent="0.25">
      <c r="C26" s="29"/>
      <c r="D26" s="30"/>
      <c r="I26" s="28"/>
    </row>
    <row r="27" spans="3:9" x14ac:dyDescent="0.25">
      <c r="C27" s="29"/>
      <c r="D27" s="30"/>
      <c r="I27" s="28"/>
    </row>
    <row r="28" spans="3:9" x14ac:dyDescent="0.25">
      <c r="D28" s="30"/>
    </row>
    <row r="29" spans="3:9" x14ac:dyDescent="0.25">
      <c r="D29"/>
    </row>
    <row r="30" spans="3:9" x14ac:dyDescent="0.25">
      <c r="D30"/>
    </row>
    <row r="31" spans="3:9" x14ac:dyDescent="0.25">
      <c r="D31"/>
    </row>
    <row r="32" spans="3:9"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sheetData>
  <sheetProtection formatCells="0" formatColumns="0" formatRows="0" insertColumns="0" insertRows="0" insertHyperlinks="0" deleteColumns="0" deleteRows="0"/>
  <dataConsolidate/>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03A91-2EFF-482D-8A48-4C2AEB16B096}">
  <sheetPr>
    <tabColor theme="3"/>
    <pageSetUpPr autoPageBreaks="0"/>
  </sheetPr>
  <dimension ref="A1"/>
  <sheetViews>
    <sheetView showGridLines="0" workbookViewId="0">
      <selection activeCell="G24" sqref="G24"/>
    </sheetView>
  </sheetViews>
  <sheetFormatPr defaultColWidth="9.375" defaultRowHeight="10.5" x14ac:dyDescent="0.25"/>
  <cols>
    <col min="1" max="1" width="2.875" customWidth="1"/>
    <col min="2" max="2" width="12.5" customWidth="1"/>
    <col min="3" max="3" width="42.375" customWidth="1"/>
  </cols>
  <sheetData>
    <row r="1" spans="1:1" ht="31" x14ac:dyDescent="0.25">
      <c r="A1" s="6" t="str">
        <f ca="1">MID(CELL("filename",A1),FIND("]",CELL("filename",A1))+1,255)</f>
        <v>Annualised calcs &gt;</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1E647-3D06-4C7A-9EE3-EC84682B6DB3}">
  <sheetPr>
    <pageSetUpPr autoPageBreaks="0"/>
  </sheetPr>
  <dimension ref="A1:AR19"/>
  <sheetViews>
    <sheetView showGridLines="0" workbookViewId="0">
      <selection activeCell="G24" sqref="G24"/>
    </sheetView>
  </sheetViews>
  <sheetFormatPr defaultColWidth="9.125" defaultRowHeight="10.5" outlineLevelCol="1" x14ac:dyDescent="0.25"/>
  <cols>
    <col min="1" max="1" width="2.875" customWidth="1"/>
    <col min="2" max="3" width="13.375" hidden="1" customWidth="1" outlineLevel="1"/>
    <col min="4" max="4" width="2.875" customWidth="1" collapsed="1"/>
    <col min="5" max="5" width="2.875" customWidth="1"/>
    <col min="6" max="6" width="50.875" customWidth="1"/>
    <col min="7" max="7" width="9.375" customWidth="1"/>
    <col min="8" max="8" width="14.875" customWidth="1"/>
    <col min="9" max="9" width="9.375" customWidth="1"/>
    <col min="10" max="13" width="2.875" hidden="1" customWidth="1" outlineLevel="1"/>
    <col min="14" max="14" width="14.875" customWidth="1" collapsed="1"/>
    <col min="15" max="44" width="14.875" customWidth="1"/>
  </cols>
  <sheetData>
    <row r="1" spans="1:44" ht="15.5" x14ac:dyDescent="0.25">
      <c r="A1" s="5" t="str">
        <f ca="1">MID(CELL("filename",A1),FIND("]",CELL("filename",A1))+1,255)</f>
        <v>CAPEX</v>
      </c>
      <c r="B1" s="5"/>
      <c r="C1" s="5"/>
      <c r="D1" s="5"/>
      <c r="E1" s="5"/>
      <c r="F1" s="5"/>
      <c r="G1" s="5"/>
      <c r="H1" s="5"/>
      <c r="I1" s="5"/>
      <c r="J1" s="5"/>
      <c r="K1" s="5"/>
      <c r="L1" s="5"/>
      <c r="M1" s="5"/>
    </row>
    <row r="3" spans="1:44" x14ac:dyDescent="0.25">
      <c r="F3" t="str">
        <f>General!F17</f>
        <v>Financial year ending</v>
      </c>
      <c r="H3" s="11" t="str">
        <f>General!H7</f>
        <v>%</v>
      </c>
      <c r="N3" s="31">
        <f>General!N17</f>
        <v>2022</v>
      </c>
      <c r="O3" s="31">
        <f>General!O17</f>
        <v>2023</v>
      </c>
      <c r="P3" s="31">
        <f>General!P17</f>
        <v>2024</v>
      </c>
      <c r="Q3" s="47">
        <f>General!Q17</f>
        <v>2025</v>
      </c>
      <c r="R3" s="47">
        <f>General!R17</f>
        <v>2026</v>
      </c>
      <c r="S3" s="47">
        <f>General!S17</f>
        <v>2027</v>
      </c>
      <c r="T3" s="47">
        <f>General!T17</f>
        <v>2028</v>
      </c>
      <c r="U3" s="47">
        <f>General!U17</f>
        <v>2029</v>
      </c>
      <c r="V3" s="47">
        <f>General!V17</f>
        <v>2030</v>
      </c>
      <c r="W3" s="47">
        <f>General!W17</f>
        <v>2031</v>
      </c>
      <c r="X3" s="47">
        <f>General!X17</f>
        <v>2032</v>
      </c>
      <c r="Y3" s="47">
        <f>General!Y17</f>
        <v>2033</v>
      </c>
      <c r="Z3" s="47">
        <f>General!Z17</f>
        <v>2034</v>
      </c>
      <c r="AA3" s="47">
        <f>General!AA17</f>
        <v>2035</v>
      </c>
      <c r="AB3" s="47">
        <f>General!AB17</f>
        <v>2036</v>
      </c>
      <c r="AC3" s="47">
        <f>General!AC17</f>
        <v>2037</v>
      </c>
      <c r="AD3" s="47">
        <f>General!AD17</f>
        <v>2038</v>
      </c>
      <c r="AE3" s="47">
        <f>General!AE17</f>
        <v>2039</v>
      </c>
      <c r="AF3" s="47">
        <f>General!AF17</f>
        <v>2040</v>
      </c>
      <c r="AG3" s="47">
        <f>General!AG17</f>
        <v>2041</v>
      </c>
      <c r="AH3" s="47">
        <f>General!AH17</f>
        <v>2042</v>
      </c>
      <c r="AI3" s="47">
        <f>General!AI17</f>
        <v>2043</v>
      </c>
      <c r="AJ3" s="47">
        <f>General!AJ17</f>
        <v>2044</v>
      </c>
      <c r="AK3" s="47">
        <f>General!AK17</f>
        <v>2045</v>
      </c>
      <c r="AL3" s="47">
        <f>General!AL17</f>
        <v>2046</v>
      </c>
      <c r="AM3" s="47">
        <f>General!AM17</f>
        <v>2047</v>
      </c>
      <c r="AN3" s="47">
        <f>General!AN17</f>
        <v>2048</v>
      </c>
      <c r="AO3" s="47">
        <f>General!AO17</f>
        <v>2049</v>
      </c>
      <c r="AP3" s="47">
        <f>General!AP17</f>
        <v>2050</v>
      </c>
      <c r="AQ3" s="47">
        <f>General!AQ17</f>
        <v>2051</v>
      </c>
      <c r="AR3" s="47">
        <f>General!AR17</f>
        <v>2052</v>
      </c>
    </row>
    <row r="4" spans="1:44" x14ac:dyDescent="0.25">
      <c r="F4" t="str">
        <f>General!F18</f>
        <v>Period number</v>
      </c>
      <c r="H4" s="11" t="str">
        <f>General!H8</f>
        <v>#</v>
      </c>
      <c r="N4" s="19">
        <f>General!N18</f>
        <v>1</v>
      </c>
      <c r="O4" s="22">
        <f>General!O18</f>
        <v>2</v>
      </c>
      <c r="P4" s="22">
        <f>General!P18</f>
        <v>3</v>
      </c>
      <c r="Q4" s="46">
        <f>General!Q18</f>
        <v>4</v>
      </c>
      <c r="R4" s="46">
        <f>General!R18</f>
        <v>5</v>
      </c>
      <c r="S4" s="46">
        <f>General!S18</f>
        <v>6</v>
      </c>
      <c r="T4" s="46">
        <f>General!T18</f>
        <v>7</v>
      </c>
      <c r="U4" s="46">
        <f>General!U18</f>
        <v>8</v>
      </c>
      <c r="V4" s="46">
        <f>General!V18</f>
        <v>9</v>
      </c>
      <c r="W4" s="46">
        <f>General!W18</f>
        <v>10</v>
      </c>
      <c r="X4" s="46">
        <f>General!X18</f>
        <v>11</v>
      </c>
      <c r="Y4" s="46">
        <f>General!Y18</f>
        <v>12</v>
      </c>
      <c r="Z4" s="46">
        <f>General!Z18</f>
        <v>13</v>
      </c>
      <c r="AA4" s="46">
        <f>General!AA18</f>
        <v>14</v>
      </c>
      <c r="AB4" s="46">
        <f>General!AB18</f>
        <v>15</v>
      </c>
      <c r="AC4" s="46">
        <f>General!AC18</f>
        <v>16</v>
      </c>
      <c r="AD4" s="46">
        <f>General!AD18</f>
        <v>17</v>
      </c>
      <c r="AE4" s="46">
        <f>General!AE18</f>
        <v>18</v>
      </c>
      <c r="AF4" s="46">
        <f>General!AF18</f>
        <v>19</v>
      </c>
      <c r="AG4" s="46">
        <f>General!AG18</f>
        <v>20</v>
      </c>
      <c r="AH4" s="46">
        <f>General!AH18</f>
        <v>21</v>
      </c>
      <c r="AI4" s="46">
        <f>General!AI18</f>
        <v>22</v>
      </c>
      <c r="AJ4" s="46">
        <f>General!AJ18</f>
        <v>23</v>
      </c>
      <c r="AK4" s="46">
        <f>General!AK18</f>
        <v>24</v>
      </c>
      <c r="AL4" s="46">
        <f>General!AL18</f>
        <v>25</v>
      </c>
      <c r="AM4" s="46">
        <f>General!AM18</f>
        <v>26</v>
      </c>
      <c r="AN4" s="46">
        <f>General!AN18</f>
        <v>27</v>
      </c>
      <c r="AO4" s="46">
        <f>General!AO18</f>
        <v>28</v>
      </c>
      <c r="AP4" s="46">
        <f>General!AP18</f>
        <v>29</v>
      </c>
      <c r="AQ4" s="46">
        <f>General!AQ18</f>
        <v>30</v>
      </c>
      <c r="AR4" s="46">
        <f>General!AR18</f>
        <v>31</v>
      </c>
    </row>
    <row r="5" spans="1:44" x14ac:dyDescent="0.25">
      <c r="F5" t="str">
        <f>General!F19</f>
        <v>Construction year</v>
      </c>
      <c r="H5" s="11" t="str">
        <f>General!H9</f>
        <v>dd/mm/yyyy</v>
      </c>
      <c r="N5" s="19">
        <f>General!N19</f>
        <v>1</v>
      </c>
      <c r="O5" s="22">
        <f>General!O19</f>
        <v>2</v>
      </c>
      <c r="P5" s="22">
        <f>General!P19</f>
        <v>3</v>
      </c>
      <c r="Q5" s="46">
        <f>General!Q19</f>
        <v>4</v>
      </c>
      <c r="R5" s="46">
        <f>General!R19</f>
        <v>5</v>
      </c>
      <c r="S5" s="46">
        <f>General!S19</f>
        <v>6</v>
      </c>
      <c r="T5" s="46">
        <f>General!T19</f>
        <v>7</v>
      </c>
      <c r="U5" s="46">
        <f>General!U19</f>
        <v>8</v>
      </c>
      <c r="V5" s="46">
        <f>General!V19</f>
        <v>9</v>
      </c>
      <c r="W5" s="46">
        <f>General!W19</f>
        <v>10</v>
      </c>
      <c r="X5" s="46" t="str">
        <f>General!X19</f>
        <v>N/A</v>
      </c>
      <c r="Y5" s="46" t="str">
        <f>General!Y19</f>
        <v>N/A</v>
      </c>
      <c r="Z5" s="46" t="str">
        <f>General!Z19</f>
        <v>N/A</v>
      </c>
      <c r="AA5" s="46" t="str">
        <f>General!AA19</f>
        <v>N/A</v>
      </c>
      <c r="AB5" s="46" t="str">
        <f>General!AB19</f>
        <v>N/A</v>
      </c>
      <c r="AC5" s="46" t="str">
        <f>General!AC19</f>
        <v>N/A</v>
      </c>
      <c r="AD5" s="46" t="str">
        <f>General!AD19</f>
        <v>N/A</v>
      </c>
      <c r="AE5" s="46" t="str">
        <f>General!AE19</f>
        <v>N/A</v>
      </c>
      <c r="AF5" s="46" t="str">
        <f>General!AF19</f>
        <v>N/A</v>
      </c>
      <c r="AG5" s="46" t="str">
        <f>General!AG19</f>
        <v>N/A</v>
      </c>
      <c r="AH5" s="46" t="str">
        <f>General!AH19</f>
        <v>N/A</v>
      </c>
      <c r="AI5" s="46" t="str">
        <f>General!AI19</f>
        <v>N/A</v>
      </c>
      <c r="AJ5" s="46" t="str">
        <f>General!AJ19</f>
        <v>N/A</v>
      </c>
      <c r="AK5" s="46" t="str">
        <f>General!AK19</f>
        <v>N/A</v>
      </c>
      <c r="AL5" s="46" t="str">
        <f>General!AL19</f>
        <v>N/A</v>
      </c>
      <c r="AM5" s="46" t="str">
        <f>General!AM19</f>
        <v>N/A</v>
      </c>
      <c r="AN5" s="46" t="str">
        <f>General!AN19</f>
        <v>N/A</v>
      </c>
      <c r="AO5" s="46" t="str">
        <f>General!AO19</f>
        <v>N/A</v>
      </c>
      <c r="AP5" s="46" t="str">
        <f>General!AP19</f>
        <v>N/A</v>
      </c>
      <c r="AQ5" s="46" t="str">
        <f>General!AQ19</f>
        <v>N/A</v>
      </c>
      <c r="AR5" s="46" t="str">
        <f>General!AR19</f>
        <v>N/A</v>
      </c>
    </row>
    <row r="6" spans="1:44" x14ac:dyDescent="0.25">
      <c r="F6" t="str">
        <f>General!F20</f>
        <v>Benefit ramp up</v>
      </c>
      <c r="H6" s="11" t="str">
        <f>General!H10</f>
        <v>dd/mm/yyyy</v>
      </c>
      <c r="N6" s="14">
        <f>General!N20</f>
        <v>0</v>
      </c>
      <c r="O6" s="14">
        <f>General!O20</f>
        <v>0.2</v>
      </c>
      <c r="P6" s="40">
        <f>General!P20</f>
        <v>0.28888888888888892</v>
      </c>
      <c r="Q6" s="48">
        <f>General!Q20</f>
        <v>0.37777777777777782</v>
      </c>
      <c r="R6" s="48">
        <f>General!R20</f>
        <v>0.46666666666666673</v>
      </c>
      <c r="S6" s="48">
        <f>General!S20</f>
        <v>0.55555555555555558</v>
      </c>
      <c r="T6" s="48">
        <f>General!T20</f>
        <v>0.64444444444444449</v>
      </c>
      <c r="U6" s="48">
        <f>General!U20</f>
        <v>0.73333333333333339</v>
      </c>
      <c r="V6" s="48">
        <f>General!V20</f>
        <v>0.8222222222222223</v>
      </c>
      <c r="W6" s="48">
        <f>General!W20</f>
        <v>0.9111111111111112</v>
      </c>
      <c r="X6" s="48">
        <f>General!X20</f>
        <v>1</v>
      </c>
      <c r="Y6" s="48">
        <f>General!Y20</f>
        <v>1</v>
      </c>
      <c r="Z6" s="48">
        <f>General!Z20</f>
        <v>1</v>
      </c>
      <c r="AA6" s="48">
        <f>General!AA20</f>
        <v>1</v>
      </c>
      <c r="AB6" s="48">
        <f>General!AB20</f>
        <v>1</v>
      </c>
      <c r="AC6" s="48">
        <f>General!AC20</f>
        <v>1</v>
      </c>
      <c r="AD6" s="48">
        <f>General!AD20</f>
        <v>1</v>
      </c>
      <c r="AE6" s="48">
        <f>General!AE20</f>
        <v>1</v>
      </c>
      <c r="AF6" s="48">
        <f>General!AF20</f>
        <v>1</v>
      </c>
      <c r="AG6" s="48">
        <f>General!AG20</f>
        <v>1</v>
      </c>
      <c r="AH6" s="48">
        <f>General!AH20</f>
        <v>1</v>
      </c>
      <c r="AI6" s="48">
        <f>General!AI20</f>
        <v>1</v>
      </c>
      <c r="AJ6" s="48">
        <f>General!AJ20</f>
        <v>1</v>
      </c>
      <c r="AK6" s="48">
        <f>General!AK20</f>
        <v>1</v>
      </c>
      <c r="AL6" s="48">
        <f>General!AL20</f>
        <v>1</v>
      </c>
      <c r="AM6" s="48">
        <f>General!AM20</f>
        <v>1</v>
      </c>
      <c r="AN6" s="48">
        <f>General!AN20</f>
        <v>1</v>
      </c>
      <c r="AO6" s="48">
        <f>General!AO20</f>
        <v>1</v>
      </c>
      <c r="AP6" s="48">
        <f>General!AP20</f>
        <v>1</v>
      </c>
      <c r="AQ6" s="48">
        <f>General!AQ20</f>
        <v>1</v>
      </c>
      <c r="AR6" s="48">
        <f>General!AR20</f>
        <v>1</v>
      </c>
    </row>
    <row r="7" spans="1:44" x14ac:dyDescent="0.25">
      <c r="F7" t="str">
        <f>General!F21</f>
        <v>Benefit year</v>
      </c>
      <c r="H7" s="11" t="str">
        <f>General!H11</f>
        <v>years</v>
      </c>
      <c r="N7" s="22">
        <f>General!N21</f>
        <v>0</v>
      </c>
      <c r="O7" s="22">
        <f>General!O21</f>
        <v>1</v>
      </c>
      <c r="P7" s="22">
        <f>General!P21</f>
        <v>2</v>
      </c>
      <c r="Q7" s="46">
        <f>General!Q21</f>
        <v>3</v>
      </c>
      <c r="R7" s="46">
        <f>General!R21</f>
        <v>4</v>
      </c>
      <c r="S7" s="46">
        <f>General!S21</f>
        <v>5</v>
      </c>
      <c r="T7" s="46">
        <f>General!T21</f>
        <v>6</v>
      </c>
      <c r="U7" s="46">
        <f>General!U21</f>
        <v>7</v>
      </c>
      <c r="V7" s="46">
        <f>General!V21</f>
        <v>8</v>
      </c>
      <c r="W7" s="46">
        <f>General!W21</f>
        <v>9</v>
      </c>
      <c r="X7" s="46">
        <f>General!X21</f>
        <v>10</v>
      </c>
      <c r="Y7" s="46">
        <f>General!Y21</f>
        <v>11</v>
      </c>
      <c r="Z7" s="46">
        <f>General!Z21</f>
        <v>12</v>
      </c>
      <c r="AA7" s="46">
        <f>General!AA21</f>
        <v>13</v>
      </c>
      <c r="AB7" s="46">
        <f>General!AB21</f>
        <v>14</v>
      </c>
      <c r="AC7" s="46">
        <f>General!AC21</f>
        <v>15</v>
      </c>
      <c r="AD7" s="46">
        <f>General!AD21</f>
        <v>16</v>
      </c>
      <c r="AE7" s="46">
        <f>General!AE21</f>
        <v>17</v>
      </c>
      <c r="AF7" s="46">
        <f>General!AF21</f>
        <v>18</v>
      </c>
      <c r="AG7" s="46">
        <f>General!AG21</f>
        <v>19</v>
      </c>
      <c r="AH7" s="46">
        <f>General!AH21</f>
        <v>20</v>
      </c>
      <c r="AI7" s="46">
        <f>General!AI21</f>
        <v>21</v>
      </c>
      <c r="AJ7" s="46">
        <f>General!AJ21</f>
        <v>22</v>
      </c>
      <c r="AK7" s="46">
        <f>General!AK21</f>
        <v>23</v>
      </c>
      <c r="AL7" s="46">
        <f>General!AL21</f>
        <v>24</v>
      </c>
      <c r="AM7" s="46">
        <f>General!AM21</f>
        <v>25</v>
      </c>
      <c r="AN7" s="46">
        <f>General!AN21</f>
        <v>26</v>
      </c>
      <c r="AO7" s="46">
        <f>General!AO21</f>
        <v>27</v>
      </c>
      <c r="AP7" s="46">
        <f>General!AP21</f>
        <v>28</v>
      </c>
      <c r="AQ7" s="46">
        <f>General!AQ21</f>
        <v>29</v>
      </c>
      <c r="AR7" s="46">
        <f>General!AR21</f>
        <v>30</v>
      </c>
    </row>
    <row r="8" spans="1:44" x14ac:dyDescent="0.25">
      <c r="F8" t="str">
        <f>General!F22</f>
        <v>Discount factor (7%)</v>
      </c>
      <c r="H8" s="11" t="str">
        <f>General!H12</f>
        <v>dd/mm/yyyy</v>
      </c>
      <c r="N8" s="27">
        <f>General!N22</f>
        <v>1</v>
      </c>
      <c r="O8" s="27">
        <f>General!O22</f>
        <v>0.93457943925233644</v>
      </c>
      <c r="P8" s="27">
        <f>General!P22</f>
        <v>0.87343872827321156</v>
      </c>
      <c r="Q8" s="49">
        <f>General!Q22</f>
        <v>0.81629787689085187</v>
      </c>
      <c r="R8" s="49">
        <f>General!R22</f>
        <v>0.7628952120475252</v>
      </c>
      <c r="S8" s="49">
        <f>General!S22</f>
        <v>0.71298617948366838</v>
      </c>
      <c r="T8" s="49">
        <f>General!T22</f>
        <v>0.66634222381651254</v>
      </c>
      <c r="U8" s="49">
        <f>General!U22</f>
        <v>0.62274974188459109</v>
      </c>
      <c r="V8" s="49">
        <f>General!V22</f>
        <v>0.5820091045650384</v>
      </c>
      <c r="W8" s="49">
        <f>General!W22</f>
        <v>0.54393374258414806</v>
      </c>
      <c r="X8" s="49">
        <f>General!X22</f>
        <v>0.5083492921347178</v>
      </c>
      <c r="Y8" s="49">
        <f>General!Y22</f>
        <v>0.47509279638758667</v>
      </c>
      <c r="Z8" s="49">
        <f>General!Z22</f>
        <v>0.44401195924073528</v>
      </c>
      <c r="AA8" s="49">
        <f>General!AA22</f>
        <v>0.41496444788853759</v>
      </c>
      <c r="AB8" s="49">
        <f>General!AB22</f>
        <v>0.3878172410173249</v>
      </c>
      <c r="AC8" s="49">
        <f>General!AC22</f>
        <v>0.36244601964235967</v>
      </c>
      <c r="AD8" s="49">
        <f>General!AD22</f>
        <v>0.33873459779659787</v>
      </c>
      <c r="AE8" s="49">
        <f>General!AE22</f>
        <v>0.31657439046411018</v>
      </c>
      <c r="AF8" s="49">
        <f>General!AF22</f>
        <v>0.29586391632159825</v>
      </c>
      <c r="AG8" s="49">
        <f>General!AG22</f>
        <v>0.27650833301083949</v>
      </c>
      <c r="AH8" s="49">
        <f>General!AH22</f>
        <v>0.2584190028138687</v>
      </c>
      <c r="AI8" s="49">
        <f>General!AI22</f>
        <v>0.24151308674193336</v>
      </c>
      <c r="AJ8" s="49">
        <f>General!AJ22</f>
        <v>0.22571316517937698</v>
      </c>
      <c r="AK8" s="49">
        <f>General!AK22</f>
        <v>0.21094688334521211</v>
      </c>
      <c r="AL8" s="49">
        <f>General!AL22</f>
        <v>0.19714661994879637</v>
      </c>
      <c r="AM8" s="49">
        <f>General!AM22</f>
        <v>0.18424917752223957</v>
      </c>
      <c r="AN8" s="49">
        <f>General!AN22</f>
        <v>0.17219549301143888</v>
      </c>
      <c r="AO8" s="49">
        <f>General!AO22</f>
        <v>0.16093036730041013</v>
      </c>
      <c r="AP8" s="49">
        <f>General!AP22</f>
        <v>0.15040221243028987</v>
      </c>
      <c r="AQ8" s="49">
        <f>General!AQ22</f>
        <v>0.1405628153554111</v>
      </c>
      <c r="AR8" s="49">
        <f>General!AR22</f>
        <v>0.13136711715458982</v>
      </c>
    </row>
    <row r="10" spans="1:44" s="13" customFormat="1" x14ac:dyDescent="0.25">
      <c r="A10" s="12"/>
      <c r="B10" s="12"/>
      <c r="C10" s="12"/>
      <c r="D10" s="13" t="s">
        <v>70</v>
      </c>
    </row>
    <row r="12" spans="1:44" x14ac:dyDescent="0.25">
      <c r="F12" t="str">
        <f>CAPEX_In!F8</f>
        <v>Project case CAPEX (total)</v>
      </c>
      <c r="H12" s="11" t="str">
        <f>CAPEX_In!G8</f>
        <v>$</v>
      </c>
      <c r="N12" s="22">
        <f>CAPEX_In!H8</f>
        <v>189795000</v>
      </c>
    </row>
    <row r="13" spans="1:44" x14ac:dyDescent="0.25">
      <c r="F13" t="str">
        <f>CAPEX_In!F11</f>
        <v>Construction period</v>
      </c>
      <c r="H13" s="11" t="str">
        <f>CAPEX_In!G11</f>
        <v>years</v>
      </c>
      <c r="J13" s="12"/>
      <c r="N13" s="22">
        <f>General!N11</f>
        <v>10</v>
      </c>
    </row>
    <row r="15" spans="1:44" s="13" customFormat="1" x14ac:dyDescent="0.25">
      <c r="A15" s="12"/>
      <c r="B15" s="12"/>
      <c r="C15" s="12"/>
      <c r="D15" s="13" t="s">
        <v>88</v>
      </c>
    </row>
    <row r="17" spans="5:44" ht="11" thickBot="1" x14ac:dyDescent="0.3">
      <c r="E17" s="1" t="s">
        <v>435</v>
      </c>
      <c r="F17" s="1"/>
    </row>
    <row r="18" spans="5:44" x14ac:dyDescent="0.25">
      <c r="E18" s="12"/>
      <c r="F18" s="12"/>
    </row>
    <row r="19" spans="5:44" x14ac:dyDescent="0.25">
      <c r="F19" s="12" t="s">
        <v>442</v>
      </c>
      <c r="H19" s="11" t="s">
        <v>85</v>
      </c>
      <c r="N19" s="22">
        <f>IF(N5&lt;=10,$N$12/$N$13,0)</f>
        <v>18979500</v>
      </c>
      <c r="O19" s="22">
        <f t="shared" ref="O19:AR19" si="0">IF(O5&lt;=10,$N$12/$N$13,0)</f>
        <v>18979500</v>
      </c>
      <c r="P19" s="22">
        <f t="shared" si="0"/>
        <v>18979500</v>
      </c>
      <c r="Q19" s="22">
        <f t="shared" si="0"/>
        <v>18979500</v>
      </c>
      <c r="R19" s="22">
        <f t="shared" si="0"/>
        <v>18979500</v>
      </c>
      <c r="S19" s="22">
        <f t="shared" si="0"/>
        <v>18979500</v>
      </c>
      <c r="T19" s="22">
        <f t="shared" si="0"/>
        <v>18979500</v>
      </c>
      <c r="U19" s="22">
        <f t="shared" si="0"/>
        <v>18979500</v>
      </c>
      <c r="V19" s="22">
        <f t="shared" si="0"/>
        <v>18979500</v>
      </c>
      <c r="W19" s="22">
        <f t="shared" si="0"/>
        <v>18979500</v>
      </c>
      <c r="X19" s="22">
        <f t="shared" si="0"/>
        <v>0</v>
      </c>
      <c r="Y19" s="22">
        <f t="shared" si="0"/>
        <v>0</v>
      </c>
      <c r="Z19" s="22">
        <f t="shared" si="0"/>
        <v>0</v>
      </c>
      <c r="AA19" s="22">
        <f t="shared" si="0"/>
        <v>0</v>
      </c>
      <c r="AB19" s="22">
        <f t="shared" si="0"/>
        <v>0</v>
      </c>
      <c r="AC19" s="22">
        <f t="shared" si="0"/>
        <v>0</v>
      </c>
      <c r="AD19" s="22">
        <f t="shared" si="0"/>
        <v>0</v>
      </c>
      <c r="AE19" s="22">
        <f t="shared" si="0"/>
        <v>0</v>
      </c>
      <c r="AF19" s="22">
        <f t="shared" si="0"/>
        <v>0</v>
      </c>
      <c r="AG19" s="22">
        <f t="shared" si="0"/>
        <v>0</v>
      </c>
      <c r="AH19" s="22">
        <f t="shared" si="0"/>
        <v>0</v>
      </c>
      <c r="AI19" s="22">
        <f t="shared" si="0"/>
        <v>0</v>
      </c>
      <c r="AJ19" s="22">
        <f t="shared" si="0"/>
        <v>0</v>
      </c>
      <c r="AK19" s="22">
        <f t="shared" si="0"/>
        <v>0</v>
      </c>
      <c r="AL19" s="22">
        <f t="shared" si="0"/>
        <v>0</v>
      </c>
      <c r="AM19" s="22">
        <f t="shared" si="0"/>
        <v>0</v>
      </c>
      <c r="AN19" s="22">
        <f t="shared" si="0"/>
        <v>0</v>
      </c>
      <c r="AO19" s="22">
        <f t="shared" si="0"/>
        <v>0</v>
      </c>
      <c r="AP19" s="22">
        <f t="shared" si="0"/>
        <v>0</v>
      </c>
      <c r="AQ19" s="22">
        <f t="shared" si="0"/>
        <v>0</v>
      </c>
      <c r="AR19" s="22">
        <f t="shared" si="0"/>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18B2-EB0E-475F-B5DC-143FFE530EB3}">
  <sheetPr>
    <pageSetUpPr autoPageBreaks="0"/>
  </sheetPr>
  <dimension ref="A1:AR19"/>
  <sheetViews>
    <sheetView showGridLines="0" workbookViewId="0">
      <selection activeCell="G24" sqref="G24"/>
    </sheetView>
  </sheetViews>
  <sheetFormatPr defaultColWidth="9.125" defaultRowHeight="10.5" outlineLevelCol="1" x14ac:dyDescent="0.25"/>
  <cols>
    <col min="1" max="1" width="2.875" customWidth="1"/>
    <col min="2" max="3" width="13.375" hidden="1" customWidth="1" outlineLevel="1"/>
    <col min="4" max="4" width="2.875" customWidth="1" collapsed="1"/>
    <col min="5" max="5" width="2.875" customWidth="1"/>
    <col min="6" max="6" width="50.875" customWidth="1"/>
    <col min="7" max="7" width="9.375" customWidth="1"/>
    <col min="8" max="8" width="14.875" customWidth="1"/>
    <col min="9" max="9" width="9.375" customWidth="1"/>
    <col min="10" max="13" width="2.875" hidden="1" customWidth="1" outlineLevel="1"/>
    <col min="14" max="14" width="14.875" customWidth="1" collapsed="1"/>
    <col min="15" max="46" width="14.875" customWidth="1"/>
  </cols>
  <sheetData>
    <row r="1" spans="1:44" ht="15.5" x14ac:dyDescent="0.25">
      <c r="A1" s="5" t="str">
        <f ca="1">MID(CELL("filename",A1),FIND("]",CELL("filename",A1))+1,255)</f>
        <v>OPEX</v>
      </c>
      <c r="B1" s="5"/>
      <c r="C1" s="5"/>
      <c r="D1" s="5"/>
      <c r="E1" s="5"/>
      <c r="F1" s="5"/>
      <c r="G1" s="5"/>
      <c r="H1" s="5"/>
      <c r="I1" s="5"/>
      <c r="J1" s="5"/>
      <c r="K1" s="5"/>
      <c r="L1" s="5"/>
      <c r="M1" s="5"/>
    </row>
    <row r="3" spans="1:44" x14ac:dyDescent="0.25">
      <c r="F3" t="str">
        <f>General!F17</f>
        <v>Financial year ending</v>
      </c>
      <c r="H3" s="11" t="str">
        <f>General!H7</f>
        <v>%</v>
      </c>
      <c r="N3" s="31">
        <f>General!N17</f>
        <v>2022</v>
      </c>
      <c r="O3" s="31">
        <f>General!O17</f>
        <v>2023</v>
      </c>
      <c r="P3" s="31">
        <f>General!P17</f>
        <v>2024</v>
      </c>
      <c r="Q3" s="31">
        <f>General!Q17</f>
        <v>2025</v>
      </c>
      <c r="R3" s="31">
        <f>General!R17</f>
        <v>2026</v>
      </c>
      <c r="S3" s="31">
        <f>General!S17</f>
        <v>2027</v>
      </c>
      <c r="T3" s="31">
        <f>General!T17</f>
        <v>2028</v>
      </c>
      <c r="U3" s="31">
        <f>General!U17</f>
        <v>2029</v>
      </c>
      <c r="V3" s="31">
        <f>General!V17</f>
        <v>2030</v>
      </c>
      <c r="W3" s="31">
        <f>General!W17</f>
        <v>2031</v>
      </c>
      <c r="X3" s="31">
        <f>General!X17</f>
        <v>2032</v>
      </c>
      <c r="Y3" s="31">
        <f>General!Y17</f>
        <v>2033</v>
      </c>
      <c r="Z3" s="31">
        <f>General!Z17</f>
        <v>2034</v>
      </c>
      <c r="AA3" s="31">
        <f>General!AA17</f>
        <v>2035</v>
      </c>
      <c r="AB3" s="31">
        <f>General!AB17</f>
        <v>2036</v>
      </c>
      <c r="AC3" s="31">
        <f>General!AC17</f>
        <v>2037</v>
      </c>
      <c r="AD3" s="31">
        <f>General!AD17</f>
        <v>2038</v>
      </c>
      <c r="AE3" s="31">
        <f>General!AE17</f>
        <v>2039</v>
      </c>
      <c r="AF3" s="31">
        <f>General!AF17</f>
        <v>2040</v>
      </c>
      <c r="AG3" s="31">
        <f>General!AG17</f>
        <v>2041</v>
      </c>
      <c r="AH3" s="31">
        <f>General!AH17</f>
        <v>2042</v>
      </c>
      <c r="AI3" s="31">
        <f>General!AI17</f>
        <v>2043</v>
      </c>
      <c r="AJ3" s="31">
        <f>General!AJ17</f>
        <v>2044</v>
      </c>
      <c r="AK3" s="31">
        <f>General!AK17</f>
        <v>2045</v>
      </c>
      <c r="AL3" s="31">
        <f>General!AL17</f>
        <v>2046</v>
      </c>
      <c r="AM3" s="31">
        <f>General!AM17</f>
        <v>2047</v>
      </c>
      <c r="AN3" s="31">
        <f>General!AN17</f>
        <v>2048</v>
      </c>
      <c r="AO3" s="31">
        <f>General!AO17</f>
        <v>2049</v>
      </c>
      <c r="AP3" s="31">
        <f>General!AP17</f>
        <v>2050</v>
      </c>
      <c r="AQ3" s="31">
        <f>General!AQ17</f>
        <v>2051</v>
      </c>
      <c r="AR3" s="31">
        <f>General!AR17</f>
        <v>2052</v>
      </c>
    </row>
    <row r="4" spans="1:44" x14ac:dyDescent="0.25">
      <c r="F4" t="str">
        <f>General!F18</f>
        <v>Period number</v>
      </c>
      <c r="H4" s="11" t="str">
        <f>General!H8</f>
        <v>#</v>
      </c>
      <c r="N4" s="19">
        <f>General!N18</f>
        <v>1</v>
      </c>
      <c r="O4" s="22">
        <f>General!O18</f>
        <v>2</v>
      </c>
      <c r="P4" s="22">
        <f>General!P18</f>
        <v>3</v>
      </c>
      <c r="Q4" s="22">
        <f>General!Q18</f>
        <v>4</v>
      </c>
      <c r="R4" s="22">
        <f>General!R18</f>
        <v>5</v>
      </c>
      <c r="S4" s="22">
        <f>General!S18</f>
        <v>6</v>
      </c>
      <c r="T4" s="22">
        <f>General!T18</f>
        <v>7</v>
      </c>
      <c r="U4" s="22">
        <f>General!U18</f>
        <v>8</v>
      </c>
      <c r="V4" s="22">
        <f>General!V18</f>
        <v>9</v>
      </c>
      <c r="W4" s="22">
        <f>General!W18</f>
        <v>10</v>
      </c>
      <c r="X4" s="22">
        <f>General!X18</f>
        <v>11</v>
      </c>
      <c r="Y4" s="22">
        <f>General!Y18</f>
        <v>12</v>
      </c>
      <c r="Z4" s="22">
        <f>General!Z18</f>
        <v>13</v>
      </c>
      <c r="AA4" s="22">
        <f>General!AA18</f>
        <v>14</v>
      </c>
      <c r="AB4" s="22">
        <f>General!AB18</f>
        <v>15</v>
      </c>
      <c r="AC4" s="22">
        <f>General!AC18</f>
        <v>16</v>
      </c>
      <c r="AD4" s="22">
        <f>General!AD18</f>
        <v>17</v>
      </c>
      <c r="AE4" s="22">
        <f>General!AE18</f>
        <v>18</v>
      </c>
      <c r="AF4" s="22">
        <f>General!AF18</f>
        <v>19</v>
      </c>
      <c r="AG4" s="22">
        <f>General!AG18</f>
        <v>20</v>
      </c>
      <c r="AH4" s="22">
        <f>General!AH18</f>
        <v>21</v>
      </c>
      <c r="AI4" s="22">
        <f>General!AI18</f>
        <v>22</v>
      </c>
      <c r="AJ4" s="22">
        <f>General!AJ18</f>
        <v>23</v>
      </c>
      <c r="AK4" s="22">
        <f>General!AK18</f>
        <v>24</v>
      </c>
      <c r="AL4" s="22">
        <f>General!AL18</f>
        <v>25</v>
      </c>
      <c r="AM4" s="22">
        <f>General!AM18</f>
        <v>26</v>
      </c>
      <c r="AN4" s="22">
        <f>General!AN18</f>
        <v>27</v>
      </c>
      <c r="AO4" s="22">
        <f>General!AO18</f>
        <v>28</v>
      </c>
      <c r="AP4" s="22">
        <f>General!AP18</f>
        <v>29</v>
      </c>
      <c r="AQ4" s="22">
        <f>General!AQ18</f>
        <v>30</v>
      </c>
      <c r="AR4" s="22">
        <f>General!AR18</f>
        <v>31</v>
      </c>
    </row>
    <row r="5" spans="1:44" x14ac:dyDescent="0.25">
      <c r="F5" t="str">
        <f>General!F19</f>
        <v>Construction year</v>
      </c>
      <c r="H5" s="11" t="str">
        <f>General!H9</f>
        <v>dd/mm/yyyy</v>
      </c>
      <c r="N5" s="19">
        <f>General!N19</f>
        <v>1</v>
      </c>
      <c r="O5" s="22">
        <f>General!O19</f>
        <v>2</v>
      </c>
      <c r="P5" s="22">
        <f>General!P19</f>
        <v>3</v>
      </c>
      <c r="Q5" s="22">
        <f>General!Q19</f>
        <v>4</v>
      </c>
      <c r="R5" s="22">
        <f>General!R19</f>
        <v>5</v>
      </c>
      <c r="S5" s="22">
        <f>General!S19</f>
        <v>6</v>
      </c>
      <c r="T5" s="22">
        <f>General!T19</f>
        <v>7</v>
      </c>
      <c r="U5" s="22">
        <f>General!U19</f>
        <v>8</v>
      </c>
      <c r="V5" s="22">
        <f>General!V19</f>
        <v>9</v>
      </c>
      <c r="W5" s="22">
        <f>General!W19</f>
        <v>10</v>
      </c>
      <c r="X5" s="22" t="str">
        <f>General!X19</f>
        <v>N/A</v>
      </c>
      <c r="Y5" s="22" t="str">
        <f>General!Y19</f>
        <v>N/A</v>
      </c>
      <c r="Z5" s="22" t="str">
        <f>General!Z19</f>
        <v>N/A</v>
      </c>
      <c r="AA5" s="22" t="str">
        <f>General!AA19</f>
        <v>N/A</v>
      </c>
      <c r="AB5" s="22" t="str">
        <f>General!AB19</f>
        <v>N/A</v>
      </c>
      <c r="AC5" s="22" t="str">
        <f>General!AC19</f>
        <v>N/A</v>
      </c>
      <c r="AD5" s="22" t="str">
        <f>General!AD19</f>
        <v>N/A</v>
      </c>
      <c r="AE5" s="22" t="str">
        <f>General!AE19</f>
        <v>N/A</v>
      </c>
      <c r="AF5" s="22" t="str">
        <f>General!AF19</f>
        <v>N/A</v>
      </c>
      <c r="AG5" s="22" t="str">
        <f>General!AG19</f>
        <v>N/A</v>
      </c>
      <c r="AH5" s="22" t="str">
        <f>General!AH19</f>
        <v>N/A</v>
      </c>
      <c r="AI5" s="22" t="str">
        <f>General!AI19</f>
        <v>N/A</v>
      </c>
      <c r="AJ5" s="22" t="str">
        <f>General!AJ19</f>
        <v>N/A</v>
      </c>
      <c r="AK5" s="22" t="str">
        <f>General!AK19</f>
        <v>N/A</v>
      </c>
      <c r="AL5" s="22" t="str">
        <f>General!AL19</f>
        <v>N/A</v>
      </c>
      <c r="AM5" s="22" t="str">
        <f>General!AM19</f>
        <v>N/A</v>
      </c>
      <c r="AN5" s="22" t="str">
        <f>General!AN19</f>
        <v>N/A</v>
      </c>
      <c r="AO5" s="22" t="str">
        <f>General!AO19</f>
        <v>N/A</v>
      </c>
      <c r="AP5" s="22" t="str">
        <f>General!AP19</f>
        <v>N/A</v>
      </c>
      <c r="AQ5" s="22" t="str">
        <f>General!AQ19</f>
        <v>N/A</v>
      </c>
      <c r="AR5" s="22" t="str">
        <f>General!AR19</f>
        <v>N/A</v>
      </c>
    </row>
    <row r="6" spans="1:44" x14ac:dyDescent="0.25">
      <c r="F6" t="str">
        <f>General!F20</f>
        <v>Benefit ramp up</v>
      </c>
      <c r="H6" s="11" t="str">
        <f>General!H10</f>
        <v>dd/mm/yyyy</v>
      </c>
      <c r="N6" s="14">
        <f>General!N20</f>
        <v>0</v>
      </c>
      <c r="O6" s="14">
        <f>General!O20</f>
        <v>0.2</v>
      </c>
      <c r="P6" s="40">
        <f>General!P20</f>
        <v>0.28888888888888892</v>
      </c>
      <c r="Q6" s="40">
        <f>General!Q20</f>
        <v>0.37777777777777782</v>
      </c>
      <c r="R6" s="40">
        <f>General!R20</f>
        <v>0.46666666666666673</v>
      </c>
      <c r="S6" s="40">
        <f>General!S20</f>
        <v>0.55555555555555558</v>
      </c>
      <c r="T6" s="40">
        <f>General!T20</f>
        <v>0.64444444444444449</v>
      </c>
      <c r="U6" s="40">
        <f>General!U20</f>
        <v>0.73333333333333339</v>
      </c>
      <c r="V6" s="40">
        <f>General!V20</f>
        <v>0.8222222222222223</v>
      </c>
      <c r="W6" s="40">
        <f>General!W20</f>
        <v>0.9111111111111112</v>
      </c>
      <c r="X6" s="40">
        <f>General!X20</f>
        <v>1</v>
      </c>
      <c r="Y6" s="40">
        <f>General!Y20</f>
        <v>1</v>
      </c>
      <c r="Z6" s="40">
        <f>General!Z20</f>
        <v>1</v>
      </c>
      <c r="AA6" s="40">
        <f>General!AA20</f>
        <v>1</v>
      </c>
      <c r="AB6" s="40">
        <f>General!AB20</f>
        <v>1</v>
      </c>
      <c r="AC6" s="40">
        <f>General!AC20</f>
        <v>1</v>
      </c>
      <c r="AD6" s="40">
        <f>General!AD20</f>
        <v>1</v>
      </c>
      <c r="AE6" s="40">
        <f>General!AE20</f>
        <v>1</v>
      </c>
      <c r="AF6" s="40">
        <f>General!AF20</f>
        <v>1</v>
      </c>
      <c r="AG6" s="40">
        <f>General!AG20</f>
        <v>1</v>
      </c>
      <c r="AH6" s="40">
        <f>General!AH20</f>
        <v>1</v>
      </c>
      <c r="AI6" s="40">
        <f>General!AI20</f>
        <v>1</v>
      </c>
      <c r="AJ6" s="40">
        <f>General!AJ20</f>
        <v>1</v>
      </c>
      <c r="AK6" s="40">
        <f>General!AK20</f>
        <v>1</v>
      </c>
      <c r="AL6" s="40">
        <f>General!AL20</f>
        <v>1</v>
      </c>
      <c r="AM6" s="40">
        <f>General!AM20</f>
        <v>1</v>
      </c>
      <c r="AN6" s="40">
        <f>General!AN20</f>
        <v>1</v>
      </c>
      <c r="AO6" s="40">
        <f>General!AO20</f>
        <v>1</v>
      </c>
      <c r="AP6" s="40">
        <f>General!AP20</f>
        <v>1</v>
      </c>
      <c r="AQ6" s="40">
        <f>General!AQ20</f>
        <v>1</v>
      </c>
      <c r="AR6" s="40">
        <f>General!AR20</f>
        <v>1</v>
      </c>
    </row>
    <row r="7" spans="1:44" x14ac:dyDescent="0.25">
      <c r="F7" t="str">
        <f>General!F21</f>
        <v>Benefit year</v>
      </c>
      <c r="H7" s="11" t="str">
        <f>General!H11</f>
        <v>years</v>
      </c>
      <c r="N7" s="22">
        <f>General!N21</f>
        <v>0</v>
      </c>
      <c r="O7" s="22">
        <f>General!O21</f>
        <v>1</v>
      </c>
      <c r="P7" s="22">
        <f>General!P21</f>
        <v>2</v>
      </c>
      <c r="Q7" s="22">
        <f>General!Q21</f>
        <v>3</v>
      </c>
      <c r="R7" s="22">
        <f>General!R21</f>
        <v>4</v>
      </c>
      <c r="S7" s="22">
        <f>General!S21</f>
        <v>5</v>
      </c>
      <c r="T7" s="22">
        <f>General!T21</f>
        <v>6</v>
      </c>
      <c r="U7" s="22">
        <f>General!U21</f>
        <v>7</v>
      </c>
      <c r="V7" s="22">
        <f>General!V21</f>
        <v>8</v>
      </c>
      <c r="W7" s="22">
        <f>General!W21</f>
        <v>9</v>
      </c>
      <c r="X7" s="22">
        <f>General!X21</f>
        <v>10</v>
      </c>
      <c r="Y7" s="22">
        <f>General!Y21</f>
        <v>11</v>
      </c>
      <c r="Z7" s="22">
        <f>General!Z21</f>
        <v>12</v>
      </c>
      <c r="AA7" s="22">
        <f>General!AA21</f>
        <v>13</v>
      </c>
      <c r="AB7" s="22">
        <f>General!AB21</f>
        <v>14</v>
      </c>
      <c r="AC7" s="22">
        <f>General!AC21</f>
        <v>15</v>
      </c>
      <c r="AD7" s="22">
        <f>General!AD21</f>
        <v>16</v>
      </c>
      <c r="AE7" s="22">
        <f>General!AE21</f>
        <v>17</v>
      </c>
      <c r="AF7" s="22">
        <f>General!AF21</f>
        <v>18</v>
      </c>
      <c r="AG7" s="22">
        <f>General!AG21</f>
        <v>19</v>
      </c>
      <c r="AH7" s="22">
        <f>General!AH21</f>
        <v>20</v>
      </c>
      <c r="AI7" s="22">
        <f>General!AI21</f>
        <v>21</v>
      </c>
      <c r="AJ7" s="22">
        <f>General!AJ21</f>
        <v>22</v>
      </c>
      <c r="AK7" s="22">
        <f>General!AK21</f>
        <v>23</v>
      </c>
      <c r="AL7" s="22">
        <f>General!AL21</f>
        <v>24</v>
      </c>
      <c r="AM7" s="22">
        <f>General!AM21</f>
        <v>25</v>
      </c>
      <c r="AN7" s="22">
        <f>General!AN21</f>
        <v>26</v>
      </c>
      <c r="AO7" s="22">
        <f>General!AO21</f>
        <v>27</v>
      </c>
      <c r="AP7" s="22">
        <f>General!AP21</f>
        <v>28</v>
      </c>
      <c r="AQ7" s="22">
        <f>General!AQ21</f>
        <v>29</v>
      </c>
      <c r="AR7" s="22">
        <f>General!AR21</f>
        <v>30</v>
      </c>
    </row>
    <row r="8" spans="1:44" x14ac:dyDescent="0.25">
      <c r="F8" t="str">
        <f>General!F22</f>
        <v>Discount factor (7%)</v>
      </c>
      <c r="H8" s="11" t="str">
        <f>General!H12</f>
        <v>dd/mm/yyyy</v>
      </c>
      <c r="N8" s="27">
        <f>General!N22</f>
        <v>1</v>
      </c>
      <c r="O8" s="27">
        <f>General!O22</f>
        <v>0.93457943925233644</v>
      </c>
      <c r="P8" s="27">
        <f>General!P22</f>
        <v>0.87343872827321156</v>
      </c>
      <c r="Q8" s="27">
        <f>General!Q22</f>
        <v>0.81629787689085187</v>
      </c>
      <c r="R8" s="27">
        <f>General!R22</f>
        <v>0.7628952120475252</v>
      </c>
      <c r="S8" s="27">
        <f>General!S22</f>
        <v>0.71298617948366838</v>
      </c>
      <c r="T8" s="27">
        <f>General!T22</f>
        <v>0.66634222381651254</v>
      </c>
      <c r="U8" s="27">
        <f>General!U22</f>
        <v>0.62274974188459109</v>
      </c>
      <c r="V8" s="27">
        <f>General!V22</f>
        <v>0.5820091045650384</v>
      </c>
      <c r="W8" s="27">
        <f>General!W22</f>
        <v>0.54393374258414806</v>
      </c>
      <c r="X8" s="27">
        <f>General!X22</f>
        <v>0.5083492921347178</v>
      </c>
      <c r="Y8" s="27">
        <f>General!Y22</f>
        <v>0.47509279638758667</v>
      </c>
      <c r="Z8" s="27">
        <f>General!Z22</f>
        <v>0.44401195924073528</v>
      </c>
      <c r="AA8" s="27">
        <f>General!AA22</f>
        <v>0.41496444788853759</v>
      </c>
      <c r="AB8" s="27">
        <f>General!AB22</f>
        <v>0.3878172410173249</v>
      </c>
      <c r="AC8" s="27">
        <f>General!AC22</f>
        <v>0.36244601964235967</v>
      </c>
      <c r="AD8" s="27">
        <f>General!AD22</f>
        <v>0.33873459779659787</v>
      </c>
      <c r="AE8" s="27">
        <f>General!AE22</f>
        <v>0.31657439046411018</v>
      </c>
      <c r="AF8" s="27">
        <f>General!AF22</f>
        <v>0.29586391632159825</v>
      </c>
      <c r="AG8" s="27">
        <f>General!AG22</f>
        <v>0.27650833301083949</v>
      </c>
      <c r="AH8" s="27">
        <f>General!AH22</f>
        <v>0.2584190028138687</v>
      </c>
      <c r="AI8" s="27">
        <f>General!AI22</f>
        <v>0.24151308674193336</v>
      </c>
      <c r="AJ8" s="27">
        <f>General!AJ22</f>
        <v>0.22571316517937698</v>
      </c>
      <c r="AK8" s="27">
        <f>General!AK22</f>
        <v>0.21094688334521211</v>
      </c>
      <c r="AL8" s="27">
        <f>General!AL22</f>
        <v>0.19714661994879637</v>
      </c>
      <c r="AM8" s="27">
        <f>General!AM22</f>
        <v>0.18424917752223957</v>
      </c>
      <c r="AN8" s="27">
        <f>General!AN22</f>
        <v>0.17219549301143888</v>
      </c>
      <c r="AO8" s="27">
        <f>General!AO22</f>
        <v>0.16093036730041013</v>
      </c>
      <c r="AP8" s="27">
        <f>General!AP22</f>
        <v>0.15040221243028987</v>
      </c>
      <c r="AQ8" s="27">
        <f>General!AQ22</f>
        <v>0.1405628153554111</v>
      </c>
      <c r="AR8" s="27">
        <f>General!AR22</f>
        <v>0.13136711715458982</v>
      </c>
    </row>
    <row r="10" spans="1:44" s="13" customFormat="1" x14ac:dyDescent="0.25">
      <c r="A10" s="12"/>
      <c r="B10" s="12"/>
      <c r="C10" s="12"/>
      <c r="D10" s="13" t="s">
        <v>70</v>
      </c>
    </row>
    <row r="12" spans="1:44" x14ac:dyDescent="0.25">
      <c r="F12" t="str">
        <f>OPEX_In!F9</f>
        <v>Annual OPEX in fully operational year</v>
      </c>
      <c r="H12" s="11" t="str">
        <f>OPEX_In!G9</f>
        <v>$</v>
      </c>
      <c r="N12" s="21">
        <f>OPEX_In!H9</f>
        <v>3795900</v>
      </c>
    </row>
    <row r="13" spans="1:44" x14ac:dyDescent="0.25">
      <c r="H13" s="11"/>
      <c r="J13" s="12"/>
    </row>
    <row r="15" spans="1:44" s="13" customFormat="1" x14ac:dyDescent="0.25">
      <c r="A15" s="12"/>
      <c r="B15" s="12"/>
      <c r="C15" s="12"/>
      <c r="D15" s="13" t="s">
        <v>88</v>
      </c>
    </row>
    <row r="17" spans="5:44" ht="11" thickBot="1" x14ac:dyDescent="0.3">
      <c r="E17" s="1" t="s">
        <v>435</v>
      </c>
      <c r="F17" s="1"/>
    </row>
    <row r="18" spans="5:44" x14ac:dyDescent="0.25">
      <c r="E18" s="12"/>
      <c r="F18" s="12"/>
    </row>
    <row r="19" spans="5:44" x14ac:dyDescent="0.25">
      <c r="F19" s="12" t="s">
        <v>443</v>
      </c>
      <c r="H19" s="11" t="s">
        <v>85</v>
      </c>
      <c r="N19" s="22">
        <f>$N$12*N6</f>
        <v>0</v>
      </c>
      <c r="O19" s="22">
        <f>N12/10</f>
        <v>379590</v>
      </c>
      <c r="P19" s="22">
        <f>O19+($N$12/10)</f>
        <v>759180</v>
      </c>
      <c r="Q19" s="22">
        <f t="shared" ref="Q19:X19" si="0">P19+($N$12/10)</f>
        <v>1138770</v>
      </c>
      <c r="R19" s="22">
        <f t="shared" si="0"/>
        <v>1518360</v>
      </c>
      <c r="S19" s="22">
        <f t="shared" si="0"/>
        <v>1897950</v>
      </c>
      <c r="T19" s="22">
        <f t="shared" si="0"/>
        <v>2277540</v>
      </c>
      <c r="U19" s="22">
        <f t="shared" si="0"/>
        <v>2657130</v>
      </c>
      <c r="V19" s="22">
        <f t="shared" si="0"/>
        <v>3036720</v>
      </c>
      <c r="W19" s="22">
        <f t="shared" si="0"/>
        <v>3416310</v>
      </c>
      <c r="X19" s="22">
        <f t="shared" si="0"/>
        <v>3795900</v>
      </c>
      <c r="Y19" s="22">
        <f>X19</f>
        <v>3795900</v>
      </c>
      <c r="Z19" s="22">
        <f t="shared" ref="Z19:AR19" si="1">Y19</f>
        <v>3795900</v>
      </c>
      <c r="AA19" s="22">
        <f t="shared" si="1"/>
        <v>3795900</v>
      </c>
      <c r="AB19" s="22">
        <f t="shared" si="1"/>
        <v>3795900</v>
      </c>
      <c r="AC19" s="22">
        <f t="shared" si="1"/>
        <v>3795900</v>
      </c>
      <c r="AD19" s="22">
        <f t="shared" si="1"/>
        <v>3795900</v>
      </c>
      <c r="AE19" s="22">
        <f t="shared" si="1"/>
        <v>3795900</v>
      </c>
      <c r="AF19" s="22">
        <f t="shared" si="1"/>
        <v>3795900</v>
      </c>
      <c r="AG19" s="22">
        <f t="shared" si="1"/>
        <v>3795900</v>
      </c>
      <c r="AH19" s="22">
        <f t="shared" si="1"/>
        <v>3795900</v>
      </c>
      <c r="AI19" s="22">
        <f t="shared" si="1"/>
        <v>3795900</v>
      </c>
      <c r="AJ19" s="22">
        <f t="shared" si="1"/>
        <v>3795900</v>
      </c>
      <c r="AK19" s="22">
        <f t="shared" si="1"/>
        <v>3795900</v>
      </c>
      <c r="AL19" s="22">
        <f t="shared" si="1"/>
        <v>3795900</v>
      </c>
      <c r="AM19" s="22">
        <f t="shared" si="1"/>
        <v>3795900</v>
      </c>
      <c r="AN19" s="22">
        <f t="shared" si="1"/>
        <v>3795900</v>
      </c>
      <c r="AO19" s="22">
        <f t="shared" si="1"/>
        <v>3795900</v>
      </c>
      <c r="AP19" s="22">
        <f t="shared" si="1"/>
        <v>3795900</v>
      </c>
      <c r="AQ19" s="22">
        <f t="shared" si="1"/>
        <v>3795900</v>
      </c>
      <c r="AR19" s="22">
        <f t="shared" si="1"/>
        <v>3795900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8FC9-700F-45B8-A83E-DE2278197BB1}">
  <sheetPr>
    <pageSetUpPr autoPageBreaks="0"/>
  </sheetPr>
  <dimension ref="A1:AR46"/>
  <sheetViews>
    <sheetView showGridLines="0" workbookViewId="0">
      <selection activeCell="N72" sqref="N72"/>
    </sheetView>
  </sheetViews>
  <sheetFormatPr defaultColWidth="9.125" defaultRowHeight="10.5" outlineLevelCol="1" x14ac:dyDescent="0.25"/>
  <cols>
    <col min="1" max="1" width="2.875" customWidth="1"/>
    <col min="2" max="3" width="13.375" hidden="1" customWidth="1" outlineLevel="1"/>
    <col min="4" max="4" width="2.875" customWidth="1" collapsed="1"/>
    <col min="5" max="5" width="2.875" customWidth="1"/>
    <col min="6" max="6" width="50.875" customWidth="1"/>
    <col min="7" max="7" width="9.375" customWidth="1"/>
    <col min="8" max="8" width="14.875" customWidth="1"/>
    <col min="9" max="9" width="9.375" customWidth="1"/>
    <col min="10" max="11" width="2.875" customWidth="1" outlineLevel="1"/>
    <col min="12" max="12" width="6.375" customWidth="1" outlineLevel="1"/>
    <col min="13" max="13" width="2.875" customWidth="1" outlineLevel="1"/>
    <col min="14" max="46" width="14.875" customWidth="1"/>
  </cols>
  <sheetData>
    <row r="1" spans="1:44" ht="15.5" x14ac:dyDescent="0.25">
      <c r="A1" s="5" t="str">
        <f ca="1">MID(CELL("filename",A1),FIND("]",CELL("filename",A1))+1,255)</f>
        <v>Benefits</v>
      </c>
      <c r="B1" s="5"/>
      <c r="C1" s="5"/>
      <c r="D1" s="5"/>
      <c r="E1" s="5"/>
      <c r="F1" s="5"/>
      <c r="G1" s="5"/>
      <c r="H1" s="5"/>
      <c r="I1" s="5"/>
      <c r="J1" s="5"/>
      <c r="K1" s="5"/>
      <c r="L1" s="5"/>
      <c r="M1" s="5"/>
    </row>
    <row r="3" spans="1:44" x14ac:dyDescent="0.25">
      <c r="F3" t="str">
        <f>General!F17</f>
        <v>Financial year ending</v>
      </c>
      <c r="H3" s="11" t="str">
        <f>General!H7</f>
        <v>%</v>
      </c>
      <c r="N3" s="31">
        <f>General!N17</f>
        <v>2022</v>
      </c>
      <c r="O3" s="31">
        <f>General!O17</f>
        <v>2023</v>
      </c>
      <c r="P3" s="31">
        <f>General!P17</f>
        <v>2024</v>
      </c>
      <c r="Q3" s="31">
        <f>General!Q17</f>
        <v>2025</v>
      </c>
      <c r="R3" s="31">
        <f>General!R17</f>
        <v>2026</v>
      </c>
      <c r="S3" s="31">
        <f>General!S17</f>
        <v>2027</v>
      </c>
      <c r="T3" s="31">
        <f>General!T17</f>
        <v>2028</v>
      </c>
      <c r="U3" s="31">
        <f>General!U17</f>
        <v>2029</v>
      </c>
      <c r="V3" s="31">
        <f>General!V17</f>
        <v>2030</v>
      </c>
      <c r="W3" s="31">
        <f>General!W17</f>
        <v>2031</v>
      </c>
      <c r="X3" s="31">
        <f>General!X17</f>
        <v>2032</v>
      </c>
      <c r="Y3" s="31">
        <f>General!Y17</f>
        <v>2033</v>
      </c>
      <c r="Z3" s="31">
        <f>General!Z17</f>
        <v>2034</v>
      </c>
      <c r="AA3" s="31">
        <f>General!AA17</f>
        <v>2035</v>
      </c>
      <c r="AB3" s="31">
        <f>General!AB17</f>
        <v>2036</v>
      </c>
      <c r="AC3" s="31">
        <f>General!AC17</f>
        <v>2037</v>
      </c>
      <c r="AD3" s="31">
        <f>General!AD17</f>
        <v>2038</v>
      </c>
      <c r="AE3" s="31">
        <f>General!AE17</f>
        <v>2039</v>
      </c>
      <c r="AF3" s="31">
        <f>General!AF17</f>
        <v>2040</v>
      </c>
      <c r="AG3" s="31">
        <f>General!AG17</f>
        <v>2041</v>
      </c>
      <c r="AH3" s="31">
        <f>General!AH17</f>
        <v>2042</v>
      </c>
      <c r="AI3" s="31">
        <f>General!AI17</f>
        <v>2043</v>
      </c>
      <c r="AJ3" s="31">
        <f>General!AJ17</f>
        <v>2044</v>
      </c>
      <c r="AK3" s="31">
        <f>General!AK17</f>
        <v>2045</v>
      </c>
      <c r="AL3" s="31">
        <f>General!AL17</f>
        <v>2046</v>
      </c>
      <c r="AM3" s="31">
        <f>General!AM17</f>
        <v>2047</v>
      </c>
      <c r="AN3" s="31">
        <f>General!AN17</f>
        <v>2048</v>
      </c>
      <c r="AO3" s="31">
        <f>General!AO17</f>
        <v>2049</v>
      </c>
      <c r="AP3" s="31">
        <f>General!AP17</f>
        <v>2050</v>
      </c>
      <c r="AQ3" s="31">
        <f>General!AQ17</f>
        <v>2051</v>
      </c>
      <c r="AR3" s="31">
        <f>General!AR17</f>
        <v>2052</v>
      </c>
    </row>
    <row r="4" spans="1:44" x14ac:dyDescent="0.25">
      <c r="F4" t="str">
        <f>General!F18</f>
        <v>Period number</v>
      </c>
      <c r="H4" s="11" t="str">
        <f>General!H8</f>
        <v>#</v>
      </c>
      <c r="N4" s="19">
        <f>General!N18</f>
        <v>1</v>
      </c>
      <c r="O4" s="22">
        <f>General!O18</f>
        <v>2</v>
      </c>
      <c r="P4" s="22">
        <f>General!P18</f>
        <v>3</v>
      </c>
      <c r="Q4" s="22">
        <f>General!Q18</f>
        <v>4</v>
      </c>
      <c r="R4" s="22">
        <f>General!R18</f>
        <v>5</v>
      </c>
      <c r="S4" s="22">
        <f>General!S18</f>
        <v>6</v>
      </c>
      <c r="T4" s="22">
        <f>General!T18</f>
        <v>7</v>
      </c>
      <c r="U4" s="22">
        <f>General!U18</f>
        <v>8</v>
      </c>
      <c r="V4" s="22">
        <f>General!V18</f>
        <v>9</v>
      </c>
      <c r="W4" s="22">
        <f>General!W18</f>
        <v>10</v>
      </c>
      <c r="X4" s="22">
        <f>General!X18</f>
        <v>11</v>
      </c>
      <c r="Y4" s="22">
        <f>General!Y18</f>
        <v>12</v>
      </c>
      <c r="Z4" s="22">
        <f>General!Z18</f>
        <v>13</v>
      </c>
      <c r="AA4" s="22">
        <f>General!AA18</f>
        <v>14</v>
      </c>
      <c r="AB4" s="22">
        <f>General!AB18</f>
        <v>15</v>
      </c>
      <c r="AC4" s="22">
        <f>General!AC18</f>
        <v>16</v>
      </c>
      <c r="AD4" s="22">
        <f>General!AD18</f>
        <v>17</v>
      </c>
      <c r="AE4" s="22">
        <f>General!AE18</f>
        <v>18</v>
      </c>
      <c r="AF4" s="22">
        <f>General!AF18</f>
        <v>19</v>
      </c>
      <c r="AG4" s="22">
        <f>General!AG18</f>
        <v>20</v>
      </c>
      <c r="AH4" s="22">
        <f>General!AH18</f>
        <v>21</v>
      </c>
      <c r="AI4" s="22">
        <f>General!AI18</f>
        <v>22</v>
      </c>
      <c r="AJ4" s="22">
        <f>General!AJ18</f>
        <v>23</v>
      </c>
      <c r="AK4" s="22">
        <f>General!AK18</f>
        <v>24</v>
      </c>
      <c r="AL4" s="22">
        <f>General!AL18</f>
        <v>25</v>
      </c>
      <c r="AM4" s="22">
        <f>General!AM18</f>
        <v>26</v>
      </c>
      <c r="AN4" s="22">
        <f>General!AN18</f>
        <v>27</v>
      </c>
      <c r="AO4" s="22">
        <f>General!AO18</f>
        <v>28</v>
      </c>
      <c r="AP4" s="22">
        <f>General!AP18</f>
        <v>29</v>
      </c>
      <c r="AQ4" s="22">
        <f>General!AQ18</f>
        <v>30</v>
      </c>
      <c r="AR4" s="22">
        <f>General!AR18</f>
        <v>31</v>
      </c>
    </row>
    <row r="5" spans="1:44" x14ac:dyDescent="0.25">
      <c r="F5" t="str">
        <f>General!F19</f>
        <v>Construction year</v>
      </c>
      <c r="H5" s="11" t="str">
        <f>General!H9</f>
        <v>dd/mm/yyyy</v>
      </c>
      <c r="N5" s="19">
        <f>General!N19</f>
        <v>1</v>
      </c>
      <c r="O5" s="22">
        <f>General!O19</f>
        <v>2</v>
      </c>
      <c r="P5" s="22">
        <f>General!P19</f>
        <v>3</v>
      </c>
      <c r="Q5" s="22">
        <f>General!Q19</f>
        <v>4</v>
      </c>
      <c r="R5" s="22">
        <f>General!R19</f>
        <v>5</v>
      </c>
      <c r="S5" s="22">
        <f>General!S19</f>
        <v>6</v>
      </c>
      <c r="T5" s="22">
        <f>General!T19</f>
        <v>7</v>
      </c>
      <c r="U5" s="22">
        <f>General!U19</f>
        <v>8</v>
      </c>
      <c r="V5" s="22">
        <f>General!V19</f>
        <v>9</v>
      </c>
      <c r="W5" s="22">
        <f>General!W19</f>
        <v>10</v>
      </c>
      <c r="X5" s="22" t="str">
        <f>General!X19</f>
        <v>N/A</v>
      </c>
      <c r="Y5" s="22" t="str">
        <f>General!Y19</f>
        <v>N/A</v>
      </c>
      <c r="Z5" s="22" t="str">
        <f>General!Z19</f>
        <v>N/A</v>
      </c>
      <c r="AA5" s="22" t="str">
        <f>General!AA19</f>
        <v>N/A</v>
      </c>
      <c r="AB5" s="22" t="str">
        <f>General!AB19</f>
        <v>N/A</v>
      </c>
      <c r="AC5" s="22" t="str">
        <f>General!AC19</f>
        <v>N/A</v>
      </c>
      <c r="AD5" s="22" t="str">
        <f>General!AD19</f>
        <v>N/A</v>
      </c>
      <c r="AE5" s="22" t="str">
        <f>General!AE19</f>
        <v>N/A</v>
      </c>
      <c r="AF5" s="22" t="str">
        <f>General!AF19</f>
        <v>N/A</v>
      </c>
      <c r="AG5" s="22" t="str">
        <f>General!AG19</f>
        <v>N/A</v>
      </c>
      <c r="AH5" s="22" t="str">
        <f>General!AH19</f>
        <v>N/A</v>
      </c>
      <c r="AI5" s="22" t="str">
        <f>General!AI19</f>
        <v>N/A</v>
      </c>
      <c r="AJ5" s="22" t="str">
        <f>General!AJ19</f>
        <v>N/A</v>
      </c>
      <c r="AK5" s="22" t="str">
        <f>General!AK19</f>
        <v>N/A</v>
      </c>
      <c r="AL5" s="22" t="str">
        <f>General!AL19</f>
        <v>N/A</v>
      </c>
      <c r="AM5" s="22" t="str">
        <f>General!AM19</f>
        <v>N/A</v>
      </c>
      <c r="AN5" s="22" t="str">
        <f>General!AN19</f>
        <v>N/A</v>
      </c>
      <c r="AO5" s="22" t="str">
        <f>General!AO19</f>
        <v>N/A</v>
      </c>
      <c r="AP5" s="22" t="str">
        <f>General!AP19</f>
        <v>N/A</v>
      </c>
      <c r="AQ5" s="22" t="str">
        <f>General!AQ19</f>
        <v>N/A</v>
      </c>
      <c r="AR5" s="22" t="str">
        <f>General!AR19</f>
        <v>N/A</v>
      </c>
    </row>
    <row r="6" spans="1:44" x14ac:dyDescent="0.25">
      <c r="F6" t="str">
        <f>General!F20</f>
        <v>Benefit ramp up</v>
      </c>
      <c r="H6" s="11" t="str">
        <f>General!H10</f>
        <v>dd/mm/yyyy</v>
      </c>
      <c r="N6" s="14">
        <f>General!N20</f>
        <v>0</v>
      </c>
      <c r="O6" s="14">
        <f>General!O20</f>
        <v>0.2</v>
      </c>
      <c r="P6" s="40">
        <f>General!P20</f>
        <v>0.28888888888888892</v>
      </c>
      <c r="Q6" s="40">
        <f>General!Q20</f>
        <v>0.37777777777777782</v>
      </c>
      <c r="R6" s="40">
        <f>General!R20</f>
        <v>0.46666666666666673</v>
      </c>
      <c r="S6" s="40">
        <f>General!S20</f>
        <v>0.55555555555555558</v>
      </c>
      <c r="T6" s="40">
        <f>General!T20</f>
        <v>0.64444444444444449</v>
      </c>
      <c r="U6" s="40">
        <f>General!U20</f>
        <v>0.73333333333333339</v>
      </c>
      <c r="V6" s="40">
        <f>General!V20</f>
        <v>0.8222222222222223</v>
      </c>
      <c r="W6" s="40">
        <f>General!W20</f>
        <v>0.9111111111111112</v>
      </c>
      <c r="X6" s="40">
        <f>General!X20</f>
        <v>1</v>
      </c>
      <c r="Y6" s="40">
        <f>General!Y20</f>
        <v>1</v>
      </c>
      <c r="Z6" s="40">
        <f>General!Z20</f>
        <v>1</v>
      </c>
      <c r="AA6" s="40">
        <f>General!AA20</f>
        <v>1</v>
      </c>
      <c r="AB6" s="40">
        <f>General!AB20</f>
        <v>1</v>
      </c>
      <c r="AC6" s="40">
        <f>General!AC20</f>
        <v>1</v>
      </c>
      <c r="AD6" s="40">
        <f>General!AD20</f>
        <v>1</v>
      </c>
      <c r="AE6" s="40">
        <f>General!AE20</f>
        <v>1</v>
      </c>
      <c r="AF6" s="40">
        <f>General!AF20</f>
        <v>1</v>
      </c>
      <c r="AG6" s="40">
        <f>General!AG20</f>
        <v>1</v>
      </c>
      <c r="AH6" s="40">
        <f>General!AH20</f>
        <v>1</v>
      </c>
      <c r="AI6" s="40">
        <f>General!AI20</f>
        <v>1</v>
      </c>
      <c r="AJ6" s="40">
        <f>General!AJ20</f>
        <v>1</v>
      </c>
      <c r="AK6" s="40">
        <f>General!AK20</f>
        <v>1</v>
      </c>
      <c r="AL6" s="40">
        <f>General!AL20</f>
        <v>1</v>
      </c>
      <c r="AM6" s="40">
        <f>General!AM20</f>
        <v>1</v>
      </c>
      <c r="AN6" s="40">
        <f>General!AN20</f>
        <v>1</v>
      </c>
      <c r="AO6" s="40">
        <f>General!AO20</f>
        <v>1</v>
      </c>
      <c r="AP6" s="40">
        <f>General!AP20</f>
        <v>1</v>
      </c>
      <c r="AQ6" s="40">
        <f>General!AQ20</f>
        <v>1</v>
      </c>
      <c r="AR6" s="40">
        <f>General!AR20</f>
        <v>1</v>
      </c>
    </row>
    <row r="7" spans="1:44" x14ac:dyDescent="0.25">
      <c r="F7" t="str">
        <f>General!F21</f>
        <v>Benefit year</v>
      </c>
      <c r="H7" s="11" t="str">
        <f>General!H11</f>
        <v>years</v>
      </c>
      <c r="N7" s="22">
        <f>General!N21</f>
        <v>0</v>
      </c>
      <c r="O7" s="22">
        <f>General!O21</f>
        <v>1</v>
      </c>
      <c r="P7" s="22">
        <f>General!P21</f>
        <v>2</v>
      </c>
      <c r="Q7" s="22">
        <f>General!Q21</f>
        <v>3</v>
      </c>
      <c r="R7" s="22">
        <f>General!R21</f>
        <v>4</v>
      </c>
      <c r="S7" s="22">
        <f>General!S21</f>
        <v>5</v>
      </c>
      <c r="T7" s="22">
        <f>General!T21</f>
        <v>6</v>
      </c>
      <c r="U7" s="22">
        <f>General!U21</f>
        <v>7</v>
      </c>
      <c r="V7" s="22">
        <f>General!V21</f>
        <v>8</v>
      </c>
      <c r="W7" s="22">
        <f>General!W21</f>
        <v>9</v>
      </c>
      <c r="X7" s="22">
        <f>General!X21</f>
        <v>10</v>
      </c>
      <c r="Y7" s="22">
        <f>General!Y21</f>
        <v>11</v>
      </c>
      <c r="Z7" s="22">
        <f>General!Z21</f>
        <v>12</v>
      </c>
      <c r="AA7" s="22">
        <f>General!AA21</f>
        <v>13</v>
      </c>
      <c r="AB7" s="22">
        <f>General!AB21</f>
        <v>14</v>
      </c>
      <c r="AC7" s="22">
        <f>General!AC21</f>
        <v>15</v>
      </c>
      <c r="AD7" s="22">
        <f>General!AD21</f>
        <v>16</v>
      </c>
      <c r="AE7" s="22">
        <f>General!AE21</f>
        <v>17</v>
      </c>
      <c r="AF7" s="22">
        <f>General!AF21</f>
        <v>18</v>
      </c>
      <c r="AG7" s="22">
        <f>General!AG21</f>
        <v>19</v>
      </c>
      <c r="AH7" s="22">
        <f>General!AH21</f>
        <v>20</v>
      </c>
      <c r="AI7" s="22">
        <f>General!AI21</f>
        <v>21</v>
      </c>
      <c r="AJ7" s="22">
        <f>General!AJ21</f>
        <v>22</v>
      </c>
      <c r="AK7" s="22">
        <f>General!AK21</f>
        <v>23</v>
      </c>
      <c r="AL7" s="22">
        <f>General!AL21</f>
        <v>24</v>
      </c>
      <c r="AM7" s="22">
        <f>General!AM21</f>
        <v>25</v>
      </c>
      <c r="AN7" s="22">
        <f>General!AN21</f>
        <v>26</v>
      </c>
      <c r="AO7" s="22">
        <f>General!AO21</f>
        <v>27</v>
      </c>
      <c r="AP7" s="22">
        <f>General!AP21</f>
        <v>28</v>
      </c>
      <c r="AQ7" s="22">
        <f>General!AQ21</f>
        <v>29</v>
      </c>
      <c r="AR7" s="22">
        <f>General!AR21</f>
        <v>30</v>
      </c>
    </row>
    <row r="8" spans="1:44" x14ac:dyDescent="0.25">
      <c r="F8" t="str">
        <f>General!F22</f>
        <v>Discount factor (7%)</v>
      </c>
      <c r="H8" s="11" t="str">
        <f>General!H12</f>
        <v>dd/mm/yyyy</v>
      </c>
      <c r="N8" s="27">
        <f>General!N22</f>
        <v>1</v>
      </c>
      <c r="O8" s="27">
        <f>General!O22</f>
        <v>0.93457943925233644</v>
      </c>
      <c r="P8" s="27">
        <f>General!P22</f>
        <v>0.87343872827321156</v>
      </c>
      <c r="Q8" s="27">
        <f>General!Q22</f>
        <v>0.81629787689085187</v>
      </c>
      <c r="R8" s="27">
        <f>General!R22</f>
        <v>0.7628952120475252</v>
      </c>
      <c r="S8" s="27">
        <f>General!S22</f>
        <v>0.71298617948366838</v>
      </c>
      <c r="T8" s="27">
        <f>General!T22</f>
        <v>0.66634222381651254</v>
      </c>
      <c r="U8" s="27">
        <f>General!U22</f>
        <v>0.62274974188459109</v>
      </c>
      <c r="V8" s="27">
        <f>General!V22</f>
        <v>0.5820091045650384</v>
      </c>
      <c r="W8" s="27">
        <f>General!W22</f>
        <v>0.54393374258414806</v>
      </c>
      <c r="X8" s="27">
        <f>General!X22</f>
        <v>0.5083492921347178</v>
      </c>
      <c r="Y8" s="27">
        <f>General!Y22</f>
        <v>0.47509279638758667</v>
      </c>
      <c r="Z8" s="27">
        <f>General!Z22</f>
        <v>0.44401195924073528</v>
      </c>
      <c r="AA8" s="27">
        <f>General!AA22</f>
        <v>0.41496444788853759</v>
      </c>
      <c r="AB8" s="27">
        <f>General!AB22</f>
        <v>0.3878172410173249</v>
      </c>
      <c r="AC8" s="27">
        <f>General!AC22</f>
        <v>0.36244601964235967</v>
      </c>
      <c r="AD8" s="27">
        <f>General!AD22</f>
        <v>0.33873459779659787</v>
      </c>
      <c r="AE8" s="27">
        <f>General!AE22</f>
        <v>0.31657439046411018</v>
      </c>
      <c r="AF8" s="27">
        <f>General!AF22</f>
        <v>0.29586391632159825</v>
      </c>
      <c r="AG8" s="27">
        <f>General!AG22</f>
        <v>0.27650833301083949</v>
      </c>
      <c r="AH8" s="27">
        <f>General!AH22</f>
        <v>0.2584190028138687</v>
      </c>
      <c r="AI8" s="27">
        <f>General!AI22</f>
        <v>0.24151308674193336</v>
      </c>
      <c r="AJ8" s="27">
        <f>General!AJ22</f>
        <v>0.22571316517937698</v>
      </c>
      <c r="AK8" s="27">
        <f>General!AK22</f>
        <v>0.21094688334521211</v>
      </c>
      <c r="AL8" s="27">
        <f>General!AL22</f>
        <v>0.19714661994879637</v>
      </c>
      <c r="AM8" s="27">
        <f>General!AM22</f>
        <v>0.18424917752223957</v>
      </c>
      <c r="AN8" s="27">
        <f>General!AN22</f>
        <v>0.17219549301143888</v>
      </c>
      <c r="AO8" s="27">
        <f>General!AO22</f>
        <v>0.16093036730041013</v>
      </c>
      <c r="AP8" s="27">
        <f>General!AP22</f>
        <v>0.15040221243028987</v>
      </c>
      <c r="AQ8" s="27">
        <f>General!AQ22</f>
        <v>0.1405628153554111</v>
      </c>
      <c r="AR8" s="27">
        <f>General!AR22</f>
        <v>0.13136711715458982</v>
      </c>
    </row>
    <row r="10" spans="1:44" s="13" customFormat="1" x14ac:dyDescent="0.25">
      <c r="A10" s="12"/>
      <c r="B10" s="12"/>
      <c r="C10" s="12"/>
      <c r="D10" s="13" t="s">
        <v>70</v>
      </c>
    </row>
    <row r="12" spans="1:44" x14ac:dyDescent="0.25">
      <c r="F12" s="24" t="str">
        <f>Benefit_In!F82</f>
        <v>Benefit 1 - health benefit</v>
      </c>
      <c r="N12" s="58" t="str">
        <f>Benefit_In!O82</f>
        <v>FY2022</v>
      </c>
    </row>
    <row r="13" spans="1:44" x14ac:dyDescent="0.25">
      <c r="F13" t="str">
        <f>Benefit_In!F83</f>
        <v>Health benefit of cycling (per kilometre)</v>
      </c>
      <c r="H13" s="11" t="str">
        <f>Benefit_In!H83</f>
        <v>$</v>
      </c>
      <c r="N13" s="27">
        <f>Benefit_In!O83</f>
        <v>1.6483599999999998</v>
      </c>
    </row>
    <row r="14" spans="1:44" x14ac:dyDescent="0.25">
      <c r="F14" t="str">
        <f>Benefit_In!F84</f>
        <v>Health benefit of walking (per kilometre)</v>
      </c>
      <c r="H14" s="11" t="str">
        <f>Benefit_In!H84</f>
        <v>$</v>
      </c>
      <c r="N14" s="27">
        <f>Benefit_In!O84</f>
        <v>3.2613980000000002</v>
      </c>
    </row>
    <row r="15" spans="1:44" x14ac:dyDescent="0.25">
      <c r="H15" s="11"/>
      <c r="J15" s="12"/>
    </row>
    <row r="16" spans="1:44" x14ac:dyDescent="0.25">
      <c r="F16" s="24" t="str">
        <f>Benefit_In!F86</f>
        <v>Benefit 2 - transport network cost savings</v>
      </c>
      <c r="H16" s="11"/>
      <c r="J16" s="12"/>
      <c r="N16" s="58" t="str">
        <f>Benefit_In!O86</f>
        <v>FY2022</v>
      </c>
    </row>
    <row r="17" spans="1:44" x14ac:dyDescent="0.25">
      <c r="F17" t="str">
        <f>Benefit_In!F93</f>
        <v>TOTAL (per kilometre)</v>
      </c>
      <c r="H17" s="11" t="str">
        <f>Benefit_In!H93</f>
        <v>$</v>
      </c>
      <c r="N17" s="27">
        <f>Benefit_In!O93</f>
        <v>0.66407355000000001</v>
      </c>
    </row>
    <row r="18" spans="1:44" x14ac:dyDescent="0.25">
      <c r="H18" s="11"/>
      <c r="J18" s="12"/>
    </row>
    <row r="19" spans="1:44" x14ac:dyDescent="0.25">
      <c r="F19" s="24" t="str">
        <f>Benefit_In!F95</f>
        <v>Benefit 3 - local leisure and recreation benefits</v>
      </c>
      <c r="H19" s="11"/>
      <c r="J19" s="12"/>
      <c r="N19" s="58" t="str">
        <f>Benefit_In!O95</f>
        <v>FY2022</v>
      </c>
    </row>
    <row r="20" spans="1:44" x14ac:dyDescent="0.25">
      <c r="F20" t="str">
        <f>Benefit_In!F96</f>
        <v>Value of leisure time (per hour)</v>
      </c>
      <c r="H20" s="11"/>
      <c r="J20" s="12"/>
      <c r="N20" s="27">
        <f>Benefit_In!O96</f>
        <v>17.649225999999999</v>
      </c>
    </row>
    <row r="21" spans="1:44" x14ac:dyDescent="0.25">
      <c r="H21" s="11"/>
    </row>
    <row r="22" spans="1:44" s="13" customFormat="1" x14ac:dyDescent="0.25">
      <c r="A22" s="12"/>
      <c r="B22" s="12"/>
      <c r="C22" s="12"/>
      <c r="D22" s="13" t="s">
        <v>88</v>
      </c>
    </row>
    <row r="24" spans="1:44" ht="11" thickBot="1" x14ac:dyDescent="0.3">
      <c r="E24" s="1" t="s">
        <v>458</v>
      </c>
      <c r="F24" s="1"/>
    </row>
    <row r="25" spans="1:44" x14ac:dyDescent="0.25">
      <c r="E25" s="12"/>
      <c r="F25" s="12"/>
    </row>
    <row r="26" spans="1:44" x14ac:dyDescent="0.25">
      <c r="E26" s="12"/>
      <c r="F26" s="12" t="s">
        <v>527</v>
      </c>
      <c r="H26" s="11" t="s">
        <v>85</v>
      </c>
      <c r="I26" t="s">
        <v>892</v>
      </c>
      <c r="L26" s="64">
        <f>N26/[1]Benefits!N30</f>
        <v>1.4350398967011631</v>
      </c>
      <c r="N26" s="22">
        <f>'Km+hr travelled'!N114*$N$14</f>
        <v>13705794.616448274</v>
      </c>
      <c r="O26" s="22">
        <f>'Km+hr travelled'!O114*$N$14</f>
        <v>13915227.150959963</v>
      </c>
      <c r="P26" s="22">
        <f>'Km+hr travelled'!P114*$N$14</f>
        <v>14124659.685471645</v>
      </c>
      <c r="Q26" s="22">
        <f>'Km+hr travelled'!Q114*$N$14</f>
        <v>14334092.219983332</v>
      </c>
      <c r="R26" s="22">
        <f>'Km+hr travelled'!R114*$N$14</f>
        <v>14543524.754495017</v>
      </c>
      <c r="S26" s="22">
        <f>'Km+hr travelled'!S114*$N$14</f>
        <v>14752957.289006703</v>
      </c>
      <c r="T26" s="22">
        <f>'Km+hr travelled'!T114*$N$14</f>
        <v>14962389.82351839</v>
      </c>
      <c r="U26" s="22">
        <f>'Km+hr travelled'!U114*$N$14</f>
        <v>15171822.358030079</v>
      </c>
      <c r="V26" s="22">
        <f>'Km+hr travelled'!V114*$N$14</f>
        <v>15381254.892541761</v>
      </c>
      <c r="W26" s="22">
        <f>'Km+hr travelled'!W114*$N$14</f>
        <v>15590687.42705344</v>
      </c>
      <c r="X26" s="22">
        <f>'Km+hr travelled'!X114*$N$14</f>
        <v>15798928.239380265</v>
      </c>
      <c r="Y26" s="22">
        <f>'Km+hr travelled'!Y114*$N$14</f>
        <v>16007169.051707089</v>
      </c>
      <c r="Z26" s="22">
        <f>'Km+hr travelled'!Z114*$N$14</f>
        <v>16215409.864033911</v>
      </c>
      <c r="AA26" s="22">
        <f>'Km+hr travelled'!AA114*$N$14</f>
        <v>16423650.676360739</v>
      </c>
      <c r="AB26" s="22">
        <f>'Km+hr travelled'!AB114*$N$14</f>
        <v>16631891.488687562</v>
      </c>
      <c r="AC26" s="22">
        <f>'Km+hr travelled'!AC114*$N$14</f>
        <v>16840132.30101439</v>
      </c>
      <c r="AD26" s="22">
        <f>'Km+hr travelled'!AD114*$N$14</f>
        <v>17048373.113341212</v>
      </c>
      <c r="AE26" s="22">
        <f>'Km+hr travelled'!AE114*$N$14</f>
        <v>17256613.925668035</v>
      </c>
      <c r="AF26" s="22">
        <f>'Km+hr travelled'!AF114*$N$14</f>
        <v>17464854.737994861</v>
      </c>
      <c r="AG26" s="22">
        <f>'Km+hr travelled'!AG114*$N$14</f>
        <v>17673095.550321676</v>
      </c>
      <c r="AH26" s="22">
        <f>'Km+hr travelled'!AH114*$N$14</f>
        <v>17913018.116369076</v>
      </c>
      <c r="AI26" s="22">
        <f>'Km+hr travelled'!AI114*$N$14</f>
        <v>18152940.682416476</v>
      </c>
      <c r="AJ26" s="22">
        <f>'Km+hr travelled'!AJ114*$N$14</f>
        <v>18392863.248463873</v>
      </c>
      <c r="AK26" s="22">
        <f>'Km+hr travelled'!AK114*$N$14</f>
        <v>18632785.814511277</v>
      </c>
      <c r="AL26" s="22">
        <f>'Km+hr travelled'!AL114*$N$14</f>
        <v>18872708.38055867</v>
      </c>
      <c r="AM26" s="22">
        <f>'Km+hr travelled'!AM114*$N$14</f>
        <v>19112630.946606066</v>
      </c>
      <c r="AN26" s="22">
        <f>'Km+hr travelled'!AN114*$N$14</f>
        <v>19352553.512653466</v>
      </c>
      <c r="AO26" s="22">
        <f>'Km+hr travelled'!AO114*$N$14</f>
        <v>19592476.078700863</v>
      </c>
      <c r="AP26" s="22">
        <f>'Km+hr travelled'!AP114*$N$14</f>
        <v>19832398.644748259</v>
      </c>
      <c r="AQ26" s="22">
        <f>'Km+hr travelled'!AQ114*$N$14</f>
        <v>20072321.210795663</v>
      </c>
      <c r="AR26" s="22">
        <f>'Km+hr travelled'!AR114*$N$14</f>
        <v>20072321.210795663</v>
      </c>
    </row>
    <row r="27" spans="1:44" x14ac:dyDescent="0.25">
      <c r="E27" s="12"/>
      <c r="F27" s="12" t="s">
        <v>528</v>
      </c>
      <c r="H27" s="11" t="s">
        <v>85</v>
      </c>
      <c r="I27" t="s">
        <v>892</v>
      </c>
      <c r="L27" s="64">
        <f>N27/[1]Benefits!N31</f>
        <v>1.5135052156594828</v>
      </c>
      <c r="N27" s="22">
        <f>'Km+hr travelled'!N117*$N$14</f>
        <v>18763343.878374085</v>
      </c>
      <c r="O27" s="22">
        <f>'Km+hr travelled'!O117*$N$14</f>
        <v>19074544.649825338</v>
      </c>
      <c r="P27" s="22">
        <f>'Km+hr travelled'!P117*$N$14</f>
        <v>19385789.120054595</v>
      </c>
      <c r="Q27" s="22">
        <f>'Km+hr travelled'!Q117*$N$14</f>
        <v>19697075.373639729</v>
      </c>
      <c r="R27" s="22">
        <f>'Km+hr travelled'!R117*$N$14</f>
        <v>20008401.605489962</v>
      </c>
      <c r="S27" s="22">
        <f>'Km+hr travelled'!S117*$N$14</f>
        <v>20319766.113014575</v>
      </c>
      <c r="T27" s="22">
        <f>'Km+hr travelled'!T117*$N$14</f>
        <v>20631167.288949307</v>
      </c>
      <c r="U27" s="22">
        <f>'Km+hr travelled'!U117*$N$14</f>
        <v>20942603.614776887</v>
      </c>
      <c r="V27" s="22">
        <f>'Km+hr travelled'!V117*$N$14</f>
        <v>21254073.65468511</v>
      </c>
      <c r="W27" s="22">
        <f>'Km+hr travelled'!W117*$N$14</f>
        <v>21565576.050011877</v>
      </c>
      <c r="X27" s="22">
        <f>'Km+hr travelled'!X117*$N$14</f>
        <v>21889444.556559712</v>
      </c>
      <c r="Y27" s="22">
        <f>'Km+hr travelled'!Y117*$N$14</f>
        <v>22213393.320977554</v>
      </c>
      <c r="Z27" s="22">
        <f>'Km+hr travelled'!Z117*$N$14</f>
        <v>22537419.251213305</v>
      </c>
      <c r="AA27" s="22">
        <f>'Km+hr travelled'!AA117*$N$14</f>
        <v>22861519.412035402</v>
      </c>
      <c r="AB27" s="22">
        <f>'Km+hr travelled'!AB117*$N$14</f>
        <v>23185691.015215404</v>
      </c>
      <c r="AC27" s="22">
        <f>'Km+hr travelled'!AC117*$N$14</f>
        <v>23509931.410438985</v>
      </c>
      <c r="AD27" s="22">
        <f>'Km+hr travelled'!AD117*$N$14</f>
        <v>23834238.076883022</v>
      </c>
      <c r="AE27" s="22">
        <f>'Km+hr travelled'!AE117*$N$14</f>
        <v>24158608.615402564</v>
      </c>
      <c r="AF27" s="22">
        <f>'Km+hr travelled'!AF117*$N$14</f>
        <v>24483040.741276704</v>
      </c>
      <c r="AG27" s="22">
        <f>'Km+hr travelled'!AG117*$N$14</f>
        <v>24807532.277467355</v>
      </c>
      <c r="AH27" s="22">
        <f>'Km+hr travelled'!AH117*$N$14</f>
        <v>25159785.917338371</v>
      </c>
      <c r="AI27" s="22">
        <f>'Km+hr travelled'!AI117*$N$14</f>
        <v>25512052.255632438</v>
      </c>
      <c r="AJ27" s="22">
        <f>'Km+hr travelled'!AJ117*$N$14</f>
        <v>25864330.795422327</v>
      </c>
      <c r="AK27" s="22">
        <f>'Km+hr travelled'!AK117*$N$14</f>
        <v>26216621.065375272</v>
      </c>
      <c r="AL27" s="22">
        <f>'Km+hr travelled'!AL117*$N$14</f>
        <v>26568922.618126087</v>
      </c>
      <c r="AM27" s="22">
        <f>'Km+hr travelled'!AM117*$N$14</f>
        <v>26921235.028772868</v>
      </c>
      <c r="AN27" s="22">
        <f>'Km+hr travelled'!AN117*$N$14</f>
        <v>27273557.893484525</v>
      </c>
      <c r="AO27" s="22">
        <f>'Km+hr travelled'!AO117*$N$14</f>
        <v>27625890.828210667</v>
      </c>
      <c r="AP27" s="22">
        <f>'Km+hr travelled'!AP117*$N$14</f>
        <v>27978233.467485089</v>
      </c>
      <c r="AQ27" s="22">
        <f>'Km+hr travelled'!AQ117*$N$14</f>
        <v>28330585.463315152</v>
      </c>
      <c r="AR27" s="22">
        <f>'Km+hr travelled'!AR117*$N$14</f>
        <v>28330585.463315152</v>
      </c>
    </row>
    <row r="28" spans="1:44" x14ac:dyDescent="0.25">
      <c r="E28" s="12"/>
      <c r="F28" s="12" t="s">
        <v>529</v>
      </c>
      <c r="H28" s="11" t="s">
        <v>85</v>
      </c>
      <c r="I28" t="s">
        <v>892</v>
      </c>
      <c r="L28" s="64">
        <f>N28/[1]Benefits!N32</f>
        <v>1.7767816071786966</v>
      </c>
      <c r="N28" s="22">
        <f>N27-N26</f>
        <v>5057549.2619258109</v>
      </c>
      <c r="O28" s="22">
        <f t="shared" ref="O28:AR28" si="0">O27-O26</f>
        <v>5159317.4988653753</v>
      </c>
      <c r="P28" s="22">
        <f t="shared" si="0"/>
        <v>5261129.4345829505</v>
      </c>
      <c r="Q28" s="22">
        <f t="shared" si="0"/>
        <v>5362983.153656397</v>
      </c>
      <c r="R28" s="22">
        <f t="shared" si="0"/>
        <v>5464876.8509949446</v>
      </c>
      <c r="S28" s="22">
        <f t="shared" si="0"/>
        <v>5566808.8240078725</v>
      </c>
      <c r="T28" s="22">
        <f t="shared" si="0"/>
        <v>5668777.4654309172</v>
      </c>
      <c r="U28" s="22">
        <f t="shared" si="0"/>
        <v>5770781.2567468081</v>
      </c>
      <c r="V28" s="22">
        <f t="shared" si="0"/>
        <v>5872818.7621433493</v>
      </c>
      <c r="W28" s="22">
        <f t="shared" si="0"/>
        <v>5974888.6229584366</v>
      </c>
      <c r="X28" s="22">
        <f t="shared" si="0"/>
        <v>6090516.317179447</v>
      </c>
      <c r="Y28" s="22">
        <f t="shared" si="0"/>
        <v>6206224.2692704648</v>
      </c>
      <c r="Z28" s="22">
        <f t="shared" si="0"/>
        <v>6322009.3871793933</v>
      </c>
      <c r="AA28" s="22">
        <f t="shared" si="0"/>
        <v>6437868.7356746625</v>
      </c>
      <c r="AB28" s="22">
        <f t="shared" si="0"/>
        <v>6553799.5265278425</v>
      </c>
      <c r="AC28" s="22">
        <f t="shared" si="0"/>
        <v>6669799.1094245948</v>
      </c>
      <c r="AD28" s="22">
        <f t="shared" si="0"/>
        <v>6785864.9635418095</v>
      </c>
      <c r="AE28" s="22">
        <f t="shared" si="0"/>
        <v>6901994.6897345297</v>
      </c>
      <c r="AF28" s="22">
        <f t="shared" si="0"/>
        <v>7018186.0032818429</v>
      </c>
      <c r="AG28" s="22">
        <f t="shared" si="0"/>
        <v>7134436.7271456793</v>
      </c>
      <c r="AH28" s="22">
        <f t="shared" si="0"/>
        <v>7246767.8009692952</v>
      </c>
      <c r="AI28" s="22">
        <f t="shared" si="0"/>
        <v>7359111.5732159615</v>
      </c>
      <c r="AJ28" s="22">
        <f t="shared" si="0"/>
        <v>7471467.546958454</v>
      </c>
      <c r="AK28" s="22">
        <f t="shared" si="0"/>
        <v>7583835.2508639954</v>
      </c>
      <c r="AL28" s="22">
        <f t="shared" si="0"/>
        <v>7696214.2375674173</v>
      </c>
      <c r="AM28" s="22">
        <f t="shared" si="0"/>
        <v>7808604.0821668021</v>
      </c>
      <c r="AN28" s="22">
        <f t="shared" si="0"/>
        <v>7921004.3808310591</v>
      </c>
      <c r="AO28" s="22">
        <f t="shared" si="0"/>
        <v>8033414.749509804</v>
      </c>
      <c r="AP28" s="22">
        <f t="shared" si="0"/>
        <v>8145834.8227368295</v>
      </c>
      <c r="AQ28" s="22">
        <f t="shared" si="0"/>
        <v>8258264.2525194883</v>
      </c>
      <c r="AR28" s="22">
        <f t="shared" si="0"/>
        <v>8258264.2525194883</v>
      </c>
    </row>
    <row r="29" spans="1:44" x14ac:dyDescent="0.25">
      <c r="E29" s="12"/>
      <c r="F29" s="12" t="s">
        <v>530</v>
      </c>
      <c r="H29" s="11" t="s">
        <v>85</v>
      </c>
      <c r="I29" t="s">
        <v>892</v>
      </c>
      <c r="L29" s="64">
        <f>N29/[1]Benefits!N33</f>
        <v>1.3088576834119146</v>
      </c>
      <c r="N29" s="22">
        <f>'Km+hr travelled'!N122*$N$13</f>
        <v>27476987.454865243</v>
      </c>
      <c r="O29" s="22">
        <f>'Km+hr travelled'!O122*$N$13</f>
        <v>27896851.846858412</v>
      </c>
      <c r="P29" s="22">
        <f>'Km+hr travelled'!P122*$N$13</f>
        <v>28316716.238851577</v>
      </c>
      <c r="Q29" s="22">
        <f>'Km+hr travelled'!Q122*$N$13</f>
        <v>28736580.630844738</v>
      </c>
      <c r="R29" s="22">
        <f>'Km+hr travelled'!R122*$N$13</f>
        <v>29156445.022837903</v>
      </c>
      <c r="S29" s="22">
        <f>'Km+hr travelled'!S122*$N$13</f>
        <v>29576309.414831061</v>
      </c>
      <c r="T29" s="22">
        <f>'Km+hr travelled'!T122*$N$13</f>
        <v>29996173.806824226</v>
      </c>
      <c r="U29" s="22">
        <f>'Km+hr travelled'!U122*$N$13</f>
        <v>30416038.198817395</v>
      </c>
      <c r="V29" s="22">
        <f>'Km+hr travelled'!V122*$N$13</f>
        <v>30835902.590810556</v>
      </c>
      <c r="W29" s="22">
        <f>'Km+hr travelled'!W122*$N$13</f>
        <v>31255766.982803699</v>
      </c>
      <c r="X29" s="22">
        <f>'Km+hr travelled'!X122*$N$13</f>
        <v>31673242.244035795</v>
      </c>
      <c r="Y29" s="22">
        <f>'Km+hr travelled'!Y122*$N$13</f>
        <v>32090717.505267877</v>
      </c>
      <c r="Z29" s="22">
        <f>'Km+hr travelled'!Z122*$N$13</f>
        <v>32508192.766499974</v>
      </c>
      <c r="AA29" s="22">
        <f>'Km+hr travelled'!AA122*$N$13</f>
        <v>32925668.027732063</v>
      </c>
      <c r="AB29" s="22">
        <f>'Km+hr travelled'!AB122*$N$13</f>
        <v>33343143.288964152</v>
      </c>
      <c r="AC29" s="22">
        <f>'Km+hr travelled'!AC122*$N$13</f>
        <v>33760618.550196245</v>
      </c>
      <c r="AD29" s="22">
        <f>'Km+hr travelled'!AD122*$N$13</f>
        <v>34178093.811428323</v>
      </c>
      <c r="AE29" s="22">
        <f>'Km+hr travelled'!AE122*$N$13</f>
        <v>34595569.072660416</v>
      </c>
      <c r="AF29" s="22">
        <f>'Km+hr travelled'!AF122*$N$13</f>
        <v>35013044.333892502</v>
      </c>
      <c r="AG29" s="22">
        <f>'Km+hr travelled'!AG122*$N$13</f>
        <v>35430519.59512458</v>
      </c>
      <c r="AH29" s="22">
        <f>'Km+hr travelled'!AH122*$N$13</f>
        <v>35911509.53565032</v>
      </c>
      <c r="AI29" s="22">
        <f>'Km+hr travelled'!AI122*$N$13</f>
        <v>36392499.476176061</v>
      </c>
      <c r="AJ29" s="22">
        <f>'Km+hr travelled'!AJ122*$N$13</f>
        <v>36873489.416701801</v>
      </c>
      <c r="AK29" s="22">
        <f>'Km+hr travelled'!AK122*$N$13</f>
        <v>37354479.357227542</v>
      </c>
      <c r="AL29" s="22">
        <f>'Km+hr travelled'!AL122*$N$13</f>
        <v>37835469.297753267</v>
      </c>
      <c r="AM29" s="22">
        <f>'Km+hr travelled'!AM122*$N$13</f>
        <v>38316459.238279015</v>
      </c>
      <c r="AN29" s="22">
        <f>'Km+hr travelled'!AN122*$N$13</f>
        <v>38797449.178804748</v>
      </c>
      <c r="AO29" s="22">
        <f>'Km+hr travelled'!AO122*$N$13</f>
        <v>39278439.119330481</v>
      </c>
      <c r="AP29" s="22">
        <f>'Km+hr travelled'!AP122*$N$13</f>
        <v>39759429.059856221</v>
      </c>
      <c r="AQ29" s="22">
        <f>'Km+hr travelled'!AQ122*$N$13</f>
        <v>40240419.000381961</v>
      </c>
      <c r="AR29" s="22">
        <f>'Km+hr travelled'!AR122*$N$13</f>
        <v>40240419.000381961</v>
      </c>
    </row>
    <row r="30" spans="1:44" x14ac:dyDescent="0.25">
      <c r="E30" s="12"/>
      <c r="F30" s="12" t="s">
        <v>531</v>
      </c>
      <c r="H30" s="11" t="s">
        <v>85</v>
      </c>
      <c r="I30" t="s">
        <v>892</v>
      </c>
      <c r="L30" s="64">
        <f>N30/[1]Benefits!N34</f>
        <v>1.380423593067839</v>
      </c>
      <c r="N30" s="22">
        <f>'Km+hr travelled'!N125*$N$13</f>
        <v>37616218.452499308</v>
      </c>
      <c r="O30" s="22">
        <f>'Km+hr travelled'!O125*$N$13</f>
        <v>38240104.913109817</v>
      </c>
      <c r="P30" s="22">
        <f>'Km+hr travelled'!P125*$N$13</f>
        <v>38864078.979788326</v>
      </c>
      <c r="Q30" s="22">
        <f>'Km+hr travelled'!Q125*$N$13</f>
        <v>39488136.812550977</v>
      </c>
      <c r="R30" s="22">
        <f>'Km+hr travelled'!R125*$N$13</f>
        <v>40112274.792603098</v>
      </c>
      <c r="S30" s="22">
        <f>'Km+hr travelled'!S125*$N$13</f>
        <v>40736489.506639227</v>
      </c>
      <c r="T30" s="22">
        <f>'Km+hr travelled'!T125*$N$13</f>
        <v>41360777.732461631</v>
      </c>
      <c r="U30" s="22">
        <f>'Km+hr travelled'!U125*$N$13</f>
        <v>41985136.425790086</v>
      </c>
      <c r="V30" s="22">
        <f>'Km+hr travelled'!V125*$N$13</f>
        <v>42609562.708149068</v>
      </c>
      <c r="W30" s="22">
        <f>'Km+hr travelled'!W125*$N$13</f>
        <v>43234053.855731443</v>
      </c>
      <c r="X30" s="22">
        <f>'Km+hr travelled'!X125*$N$13</f>
        <v>43883336.231578611</v>
      </c>
      <c r="Y30" s="22">
        <f>'Km+hr travelled'!Y125*$N$13</f>
        <v>44532779.506122202</v>
      </c>
      <c r="Z30" s="22">
        <f>'Km+hr travelled'!Z125*$N$13</f>
        <v>45182377.480504073</v>
      </c>
      <c r="AA30" s="22">
        <f>'Km+hr travelled'!AA125*$N$13</f>
        <v>45832124.270255424</v>
      </c>
      <c r="AB30" s="22">
        <f>'Km+hr travelled'!AB125*$N$13</f>
        <v>46482014.285615124</v>
      </c>
      <c r="AC30" s="22">
        <f>'Km+hr travelled'!AC125*$N$13</f>
        <v>47132042.213308357</v>
      </c>
      <c r="AD30" s="22">
        <f>'Km+hr travelled'!AD125*$N$13</f>
        <v>47782202.999660574</v>
      </c>
      <c r="AE30" s="22">
        <f>'Km+hr travelled'!AE125*$N$13</f>
        <v>48432491.83493416</v>
      </c>
      <c r="AF30" s="22">
        <f>'Km+hr travelled'!AF125*$N$13</f>
        <v>49082904.138785623</v>
      </c>
      <c r="AG30" s="22">
        <f>'Km+hr travelled'!AG125*$N$13</f>
        <v>49733435.546750866</v>
      </c>
      <c r="AH30" s="22">
        <f>'Km+hr travelled'!AH125*$N$13</f>
        <v>50439623.631026618</v>
      </c>
      <c r="AI30" s="22">
        <f>'Km+hr travelled'!AI125*$N$13</f>
        <v>51145837.172739945</v>
      </c>
      <c r="AJ30" s="22">
        <f>'Km+hr travelled'!AJ125*$N$13</f>
        <v>51852075.175665267</v>
      </c>
      <c r="AK30" s="22">
        <f>'Km+hr travelled'!AK125*$N$13</f>
        <v>52558336.69488804</v>
      </c>
      <c r="AL30" s="22">
        <f>'Km+hr travelled'!AL125*$N$13</f>
        <v>53264620.833543271</v>
      </c>
      <c r="AM30" s="22">
        <f>'Km+hr travelled'!AM125*$N$13</f>
        <v>53970926.739799708</v>
      </c>
      <c r="AN30" s="22">
        <f>'Km+hr travelled'!AN125*$N$13</f>
        <v>54677253.604068235</v>
      </c>
      <c r="AO30" s="22">
        <f>'Km+hr travelled'!AO125*$N$13</f>
        <v>55383600.656415552</v>
      </c>
      <c r="AP30" s="22">
        <f>'Km+hr travelled'!AP125*$N$13</f>
        <v>56089967.164165407</v>
      </c>
      <c r="AQ30" s="22">
        <f>'Km+hr travelled'!AQ125*$N$13</f>
        <v>56796352.42967207</v>
      </c>
      <c r="AR30" s="22">
        <f>'Km+hr travelled'!AR125*$N$13</f>
        <v>56796352.42967207</v>
      </c>
    </row>
    <row r="31" spans="1:44" x14ac:dyDescent="0.25">
      <c r="E31" s="12"/>
      <c r="F31" s="12" t="s">
        <v>532</v>
      </c>
      <c r="H31" s="11" t="s">
        <v>85</v>
      </c>
      <c r="I31" t="s">
        <v>892</v>
      </c>
      <c r="L31" s="64">
        <f>N31/[1]Benefits!N35</f>
        <v>1.6205502464751924</v>
      </c>
      <c r="N31" s="22">
        <f>N30-N29</f>
        <v>10139230.997634064</v>
      </c>
      <c r="O31" s="22">
        <f t="shared" ref="O31:AR31" si="1">O30-O29</f>
        <v>10343253.066251405</v>
      </c>
      <c r="P31" s="22">
        <f t="shared" si="1"/>
        <v>10547362.740936749</v>
      </c>
      <c r="Q31" s="22">
        <f t="shared" si="1"/>
        <v>10751556.181706239</v>
      </c>
      <c r="R31" s="22">
        <f t="shared" si="1"/>
        <v>10955829.769765195</v>
      </c>
      <c r="S31" s="22">
        <f t="shared" si="1"/>
        <v>11160180.091808166</v>
      </c>
      <c r="T31" s="22">
        <f t="shared" si="1"/>
        <v>11364603.925637405</v>
      </c>
      <c r="U31" s="22">
        <f t="shared" si="1"/>
        <v>11569098.226972692</v>
      </c>
      <c r="V31" s="22">
        <f t="shared" si="1"/>
        <v>11773660.117338512</v>
      </c>
      <c r="W31" s="22">
        <f t="shared" si="1"/>
        <v>11978286.872927744</v>
      </c>
      <c r="X31" s="22">
        <f t="shared" si="1"/>
        <v>12210093.987542816</v>
      </c>
      <c r="Y31" s="22">
        <f t="shared" si="1"/>
        <v>12442062.000854325</v>
      </c>
      <c r="Z31" s="22">
        <f t="shared" si="1"/>
        <v>12674184.714004099</v>
      </c>
      <c r="AA31" s="22">
        <f t="shared" si="1"/>
        <v>12906456.242523361</v>
      </c>
      <c r="AB31" s="22">
        <f t="shared" si="1"/>
        <v>13138870.996650971</v>
      </c>
      <c r="AC31" s="22">
        <f t="shared" si="1"/>
        <v>13371423.663112111</v>
      </c>
      <c r="AD31" s="22">
        <f t="shared" si="1"/>
        <v>13604109.188232251</v>
      </c>
      <c r="AE31" s="22">
        <f t="shared" si="1"/>
        <v>13836922.762273744</v>
      </c>
      <c r="AF31" s="22">
        <f t="shared" si="1"/>
        <v>14069859.804893121</v>
      </c>
      <c r="AG31" s="22">
        <f t="shared" si="1"/>
        <v>14302915.951626286</v>
      </c>
      <c r="AH31" s="22">
        <f t="shared" si="1"/>
        <v>14528114.095376298</v>
      </c>
      <c r="AI31" s="22">
        <f t="shared" si="1"/>
        <v>14753337.696563885</v>
      </c>
      <c r="AJ31" s="22">
        <f t="shared" si="1"/>
        <v>14978585.758963466</v>
      </c>
      <c r="AK31" s="22">
        <f t="shared" si="1"/>
        <v>15203857.337660499</v>
      </c>
      <c r="AL31" s="22">
        <f t="shared" si="1"/>
        <v>15429151.535790004</v>
      </c>
      <c r="AM31" s="22">
        <f t="shared" si="1"/>
        <v>15654467.501520693</v>
      </c>
      <c r="AN31" s="22">
        <f t="shared" si="1"/>
        <v>15879804.425263487</v>
      </c>
      <c r="AO31" s="22">
        <f t="shared" si="1"/>
        <v>16105161.537085071</v>
      </c>
      <c r="AP31" s="22">
        <f t="shared" si="1"/>
        <v>16330538.104309186</v>
      </c>
      <c r="AQ31" s="22">
        <f t="shared" si="1"/>
        <v>16555933.429290108</v>
      </c>
      <c r="AR31" s="22">
        <f t="shared" si="1"/>
        <v>16555933.429290108</v>
      </c>
    </row>
    <row r="32" spans="1:44" x14ac:dyDescent="0.25">
      <c r="E32" s="12"/>
      <c r="F32" s="12" t="s">
        <v>533</v>
      </c>
      <c r="H32" s="11" t="s">
        <v>85</v>
      </c>
      <c r="I32" t="s">
        <v>892</v>
      </c>
      <c r="L32" s="64">
        <f>N32/[1]Benefits!N36</f>
        <v>1.3483137386643962</v>
      </c>
      <c r="N32" s="22">
        <f>N26+N29</f>
        <v>41182782.071313515</v>
      </c>
      <c r="O32" s="22">
        <f t="shared" ref="O32:AR34" si="2">O26+O29</f>
        <v>41812078.997818373</v>
      </c>
      <c r="P32" s="22">
        <f t="shared" si="2"/>
        <v>42441375.924323224</v>
      </c>
      <c r="Q32" s="22">
        <f t="shared" si="2"/>
        <v>43070672.850828066</v>
      </c>
      <c r="R32" s="22">
        <f t="shared" si="2"/>
        <v>43699969.777332917</v>
      </c>
      <c r="S32" s="22">
        <f t="shared" si="2"/>
        <v>44329266.703837767</v>
      </c>
      <c r="T32" s="22">
        <f t="shared" si="2"/>
        <v>44958563.630342618</v>
      </c>
      <c r="U32" s="22">
        <f t="shared" si="2"/>
        <v>45587860.556847475</v>
      </c>
      <c r="V32" s="22">
        <f t="shared" si="2"/>
        <v>46217157.483352318</v>
      </c>
      <c r="W32" s="22">
        <f t="shared" si="2"/>
        <v>46846454.409857139</v>
      </c>
      <c r="X32" s="22">
        <f t="shared" si="2"/>
        <v>47472170.483416058</v>
      </c>
      <c r="Y32" s="22">
        <f t="shared" si="2"/>
        <v>48097886.556974962</v>
      </c>
      <c r="Z32" s="22">
        <f t="shared" si="2"/>
        <v>48723602.630533889</v>
      </c>
      <c r="AA32" s="22">
        <f t="shared" si="2"/>
        <v>49349318.704092801</v>
      </c>
      <c r="AB32" s="22">
        <f t="shared" si="2"/>
        <v>49975034.777651712</v>
      </c>
      <c r="AC32" s="22">
        <f t="shared" si="2"/>
        <v>50600750.851210639</v>
      </c>
      <c r="AD32" s="22">
        <f t="shared" si="2"/>
        <v>51226466.924769536</v>
      </c>
      <c r="AE32" s="22">
        <f t="shared" si="2"/>
        <v>51852182.998328447</v>
      </c>
      <c r="AF32" s="22">
        <f t="shared" si="2"/>
        <v>52477899.071887359</v>
      </c>
      <c r="AG32" s="22">
        <f t="shared" si="2"/>
        <v>53103615.145446256</v>
      </c>
      <c r="AH32" s="22">
        <f t="shared" si="2"/>
        <v>53824527.652019396</v>
      </c>
      <c r="AI32" s="22">
        <f t="shared" si="2"/>
        <v>54545440.158592537</v>
      </c>
      <c r="AJ32" s="22">
        <f t="shared" si="2"/>
        <v>55266352.665165678</v>
      </c>
      <c r="AK32" s="22">
        <f t="shared" si="2"/>
        <v>55987265.171738818</v>
      </c>
      <c r="AL32" s="22">
        <f t="shared" si="2"/>
        <v>56708177.678311937</v>
      </c>
      <c r="AM32" s="22">
        <f t="shared" si="2"/>
        <v>57429090.184885085</v>
      </c>
      <c r="AN32" s="22">
        <f t="shared" si="2"/>
        <v>58150002.69145821</v>
      </c>
      <c r="AO32" s="22">
        <f t="shared" si="2"/>
        <v>58870915.198031344</v>
      </c>
      <c r="AP32" s="22">
        <f t="shared" si="2"/>
        <v>59591827.704604477</v>
      </c>
      <c r="AQ32" s="22">
        <f t="shared" si="2"/>
        <v>60312740.211177625</v>
      </c>
      <c r="AR32" s="22">
        <f t="shared" si="2"/>
        <v>60312740.211177625</v>
      </c>
    </row>
    <row r="33" spans="5:44" x14ac:dyDescent="0.25">
      <c r="E33" s="12"/>
      <c r="F33" s="12" t="s">
        <v>534</v>
      </c>
      <c r="H33" s="11" t="s">
        <v>85</v>
      </c>
      <c r="I33" t="s">
        <v>892</v>
      </c>
      <c r="L33" s="64">
        <f>N33/[1]Benefits!N37</f>
        <v>1.4220370322142042</v>
      </c>
      <c r="N33" s="22">
        <f>N27+N30</f>
        <v>56379562.330873393</v>
      </c>
      <c r="O33" s="22">
        <f t="shared" ref="O33:AC33" si="3">O27+O30</f>
        <v>57314649.562935159</v>
      </c>
      <c r="P33" s="22">
        <f t="shared" si="3"/>
        <v>58249868.099842921</v>
      </c>
      <c r="Q33" s="22">
        <f t="shared" si="3"/>
        <v>59185212.186190709</v>
      </c>
      <c r="R33" s="22">
        <f t="shared" si="3"/>
        <v>60120676.39809306</v>
      </c>
      <c r="S33" s="22">
        <f t="shared" si="3"/>
        <v>61056255.619653806</v>
      </c>
      <c r="T33" s="22">
        <f t="shared" si="3"/>
        <v>61991945.021410942</v>
      </c>
      <c r="U33" s="22">
        <f t="shared" si="3"/>
        <v>62927740.040566973</v>
      </c>
      <c r="V33" s="22">
        <f t="shared" si="3"/>
        <v>63863636.362834178</v>
      </c>
      <c r="W33" s="22">
        <f t="shared" si="3"/>
        <v>64799629.905743316</v>
      </c>
      <c r="X33" s="22">
        <f t="shared" si="3"/>
        <v>65772780.788138323</v>
      </c>
      <c r="Y33" s="22">
        <f t="shared" si="3"/>
        <v>66746172.827099755</v>
      </c>
      <c r="Z33" s="22">
        <f t="shared" si="3"/>
        <v>67719796.731717378</v>
      </c>
      <c r="AA33" s="22">
        <f t="shared" si="3"/>
        <v>68693643.682290822</v>
      </c>
      <c r="AB33" s="22">
        <f t="shared" si="3"/>
        <v>69667705.300830528</v>
      </c>
      <c r="AC33" s="22">
        <f t="shared" si="3"/>
        <v>70641973.623747349</v>
      </c>
      <c r="AD33" s="22">
        <f t="shared" si="2"/>
        <v>71616441.076543599</v>
      </c>
      <c r="AE33" s="22">
        <f t="shared" si="2"/>
        <v>72591100.450336725</v>
      </c>
      <c r="AF33" s="22">
        <f t="shared" si="2"/>
        <v>73565944.880062327</v>
      </c>
      <c r="AG33" s="22">
        <f t="shared" si="2"/>
        <v>74540967.824218214</v>
      </c>
      <c r="AH33" s="22">
        <f t="shared" si="2"/>
        <v>75599409.548364997</v>
      </c>
      <c r="AI33" s="22">
        <f t="shared" si="2"/>
        <v>76657889.428372383</v>
      </c>
      <c r="AJ33" s="22">
        <f t="shared" si="2"/>
        <v>77716405.97108759</v>
      </c>
      <c r="AK33" s="22">
        <f t="shared" si="2"/>
        <v>78774957.760263309</v>
      </c>
      <c r="AL33" s="22">
        <f t="shared" si="2"/>
        <v>79833543.451669365</v>
      </c>
      <c r="AM33" s="22">
        <f t="shared" si="2"/>
        <v>80892161.768572569</v>
      </c>
      <c r="AN33" s="22">
        <f t="shared" si="2"/>
        <v>81950811.497552752</v>
      </c>
      <c r="AO33" s="22">
        <f t="shared" si="2"/>
        <v>83009491.484626219</v>
      </c>
      <c r="AP33" s="22">
        <f t="shared" si="2"/>
        <v>84068200.631650493</v>
      </c>
      <c r="AQ33" s="22">
        <f t="shared" si="2"/>
        <v>85126937.892987221</v>
      </c>
      <c r="AR33" s="22">
        <f t="shared" si="2"/>
        <v>85126937.892987221</v>
      </c>
    </row>
    <row r="34" spans="5:44" x14ac:dyDescent="0.25">
      <c r="E34" s="12"/>
      <c r="F34" s="12" t="s">
        <v>535</v>
      </c>
      <c r="H34" s="11" t="s">
        <v>85</v>
      </c>
      <c r="I34" t="s">
        <v>892</v>
      </c>
      <c r="L34" s="64">
        <f>N34/[1]Benefits!N38</f>
        <v>1.6694024027292396</v>
      </c>
      <c r="N34" s="22">
        <f>N28+N31</f>
        <v>15196780.259559875</v>
      </c>
      <c r="O34" s="22">
        <f t="shared" si="2"/>
        <v>15502570.56511678</v>
      </c>
      <c r="P34" s="22">
        <f t="shared" si="2"/>
        <v>15808492.175519699</v>
      </c>
      <c r="Q34" s="22">
        <f t="shared" si="2"/>
        <v>16114539.335362636</v>
      </c>
      <c r="R34" s="22">
        <f t="shared" si="2"/>
        <v>16420706.620760139</v>
      </c>
      <c r="S34" s="22">
        <f t="shared" si="2"/>
        <v>16726988.915816039</v>
      </c>
      <c r="T34" s="22">
        <f t="shared" si="2"/>
        <v>17033381.391068324</v>
      </c>
      <c r="U34" s="22">
        <f t="shared" si="2"/>
        <v>17339879.483719498</v>
      </c>
      <c r="V34" s="22">
        <f t="shared" si="2"/>
        <v>17646478.87948186</v>
      </c>
      <c r="W34" s="22">
        <f t="shared" si="2"/>
        <v>17953175.495886181</v>
      </c>
      <c r="X34" s="22">
        <f t="shared" si="2"/>
        <v>18300610.304722264</v>
      </c>
      <c r="Y34" s="22">
        <f t="shared" si="2"/>
        <v>18648286.270124789</v>
      </c>
      <c r="Z34" s="22">
        <f t="shared" si="2"/>
        <v>18996194.101183493</v>
      </c>
      <c r="AA34" s="22">
        <f t="shared" si="2"/>
        <v>19344324.978198022</v>
      </c>
      <c r="AB34" s="22">
        <f t="shared" si="2"/>
        <v>19692670.523178816</v>
      </c>
      <c r="AC34" s="22">
        <f t="shared" si="2"/>
        <v>20041222.772536706</v>
      </c>
      <c r="AD34" s="22">
        <f t="shared" si="2"/>
        <v>20389974.15177406</v>
      </c>
      <c r="AE34" s="22">
        <f t="shared" si="2"/>
        <v>20738917.452008273</v>
      </c>
      <c r="AF34" s="22">
        <f t="shared" si="2"/>
        <v>21088045.808174964</v>
      </c>
      <c r="AG34" s="22">
        <f t="shared" si="2"/>
        <v>21437352.678771965</v>
      </c>
      <c r="AH34" s="22">
        <f t="shared" si="2"/>
        <v>21774881.896345593</v>
      </c>
      <c r="AI34" s="22">
        <f t="shared" si="2"/>
        <v>22112449.269779846</v>
      </c>
      <c r="AJ34" s="22">
        <f t="shared" si="2"/>
        <v>22450053.30592192</v>
      </c>
      <c r="AK34" s="22">
        <f t="shared" si="2"/>
        <v>22787692.588524494</v>
      </c>
      <c r="AL34" s="22">
        <f t="shared" si="2"/>
        <v>23125365.773357421</v>
      </c>
      <c r="AM34" s="22">
        <f t="shared" si="2"/>
        <v>23463071.583687495</v>
      </c>
      <c r="AN34" s="22">
        <f t="shared" si="2"/>
        <v>23800808.806094546</v>
      </c>
      <c r="AO34" s="22">
        <f t="shared" si="2"/>
        <v>24138576.286594875</v>
      </c>
      <c r="AP34" s="22">
        <f t="shared" si="2"/>
        <v>24476372.927046016</v>
      </c>
      <c r="AQ34" s="22">
        <f t="shared" si="2"/>
        <v>24814197.681809597</v>
      </c>
      <c r="AR34" s="22">
        <f t="shared" si="2"/>
        <v>24814197.681809597</v>
      </c>
    </row>
    <row r="35" spans="5:44" x14ac:dyDescent="0.25">
      <c r="E35" s="12"/>
      <c r="F35" s="12"/>
      <c r="H35" s="11"/>
    </row>
    <row r="36" spans="5:44" ht="11" thickBot="1" x14ac:dyDescent="0.3">
      <c r="E36" s="1" t="s">
        <v>459</v>
      </c>
      <c r="F36" s="1"/>
      <c r="H36" s="11"/>
    </row>
    <row r="37" spans="5:44" x14ac:dyDescent="0.25">
      <c r="E37" s="12"/>
      <c r="F37" s="12"/>
      <c r="N37" s="57" t="s">
        <v>558</v>
      </c>
    </row>
    <row r="38" spans="5:44" x14ac:dyDescent="0.25">
      <c r="E38" s="12"/>
      <c r="F38" s="12" t="s">
        <v>536</v>
      </c>
      <c r="H38" s="11" t="s">
        <v>85</v>
      </c>
      <c r="I38" t="s">
        <v>893</v>
      </c>
      <c r="L38" s="64">
        <f>N38/[1]Benefits!N42</f>
        <v>1.8013345878776352</v>
      </c>
      <c r="N38" s="22">
        <f>('Km+hr travelled'!N78+'Km+hr travelled'!N86)*$N$17</f>
        <v>2696369.5023242529</v>
      </c>
      <c r="O38" s="22">
        <f>('Km+hr travelled'!N78+'Km+hr travelled'!N86)*$N$17</f>
        <v>2696369.5023242529</v>
      </c>
      <c r="P38" s="22">
        <f>('Km+hr travelled'!O78+'Km+hr travelled'!O86)*$N$17</f>
        <v>2737571.6007545092</v>
      </c>
      <c r="Q38" s="22">
        <f>('Km+hr travelled'!P78+'Km+hr travelled'!P86)*$N$17</f>
        <v>2778773.6991847656</v>
      </c>
      <c r="R38" s="22">
        <f>('Km+hr travelled'!Q78+'Km+hr travelled'!Q86)*$N$17</f>
        <v>2819975.7976150229</v>
      </c>
      <c r="S38" s="22">
        <f>('Km+hr travelled'!R78+'Km+hr travelled'!R86)*$N$17</f>
        <v>2861177.8960452788</v>
      </c>
      <c r="T38" s="22">
        <f>('Km+hr travelled'!S78+'Km+hr travelled'!S86)*$N$17</f>
        <v>2902379.9944755356</v>
      </c>
      <c r="U38" s="22">
        <f>('Km+hr travelled'!T78+'Km+hr travelled'!T86)*$N$17</f>
        <v>2943582.0929057915</v>
      </c>
      <c r="V38" s="22">
        <f>('Km+hr travelled'!U78+'Km+hr travelled'!U86)*$N$17</f>
        <v>2984784.1913360492</v>
      </c>
      <c r="W38" s="22">
        <f>('Km+hr travelled'!V78+'Km+hr travelled'!V86)*$N$17</f>
        <v>3025986.2897663051</v>
      </c>
      <c r="X38" s="22">
        <f>('Km+hr travelled'!W78+'Km+hr travelled'!W86)*$N$17</f>
        <v>3067188.3881965601</v>
      </c>
      <c r="Y38" s="22">
        <f>('Km+hr travelled'!X78+'Km+hr travelled'!X86)*$N$17</f>
        <v>3108156.0366409216</v>
      </c>
      <c r="Z38" s="22">
        <f>('Km+hr travelled'!Y78+'Km+hr travelled'!Y86)*$N$17</f>
        <v>3149123.6850852831</v>
      </c>
      <c r="AA38" s="22">
        <f>('Km+hr travelled'!Z78+'Km+hr travelled'!Z86)*$N$17</f>
        <v>3190091.3335296446</v>
      </c>
      <c r="AB38" s="22">
        <f>('Km+hr travelled'!AA78+'Km+hr travelled'!AA86)*$N$17</f>
        <v>3231058.9819740076</v>
      </c>
      <c r="AC38" s="22">
        <f>('Km+hr travelled'!AB78+'Km+hr travelled'!AB86)*$N$17</f>
        <v>3272026.6304183691</v>
      </c>
      <c r="AD38" s="22">
        <f>('Km+hr travelled'!AC78+'Km+hr travelled'!AC86)*$N$17</f>
        <v>3312994.2788627297</v>
      </c>
      <c r="AE38" s="22">
        <f>('Km+hr travelled'!AD78+'Km+hr travelled'!AD86)*$N$17</f>
        <v>3353961.9273070912</v>
      </c>
      <c r="AF38" s="22">
        <f>('Km+hr travelled'!AE78+'Km+hr travelled'!AE86)*$N$17</f>
        <v>3394929.5757514527</v>
      </c>
      <c r="AG38" s="22">
        <f>('Km+hr travelled'!AF78+'Km+hr travelled'!AF86)*$N$17</f>
        <v>3435897.2241958152</v>
      </c>
      <c r="AH38" s="22">
        <f>('Km+hr travelled'!AG78+'Km+hr travelled'!AG86)*$N$17</f>
        <v>3476864.8726401753</v>
      </c>
      <c r="AI38" s="22">
        <f>('Km+hr travelled'!AH78+'Km+hr travelled'!AH86)*$N$17</f>
        <v>3524065.3384368257</v>
      </c>
      <c r="AJ38" s="22">
        <f>('Km+hr travelled'!AI78+'Km+hr travelled'!AI86)*$N$17</f>
        <v>3571265.8042334761</v>
      </c>
      <c r="AK38" s="22">
        <f>('Km+hr travelled'!AJ78+'Km+hr travelled'!AJ86)*$N$17</f>
        <v>3618466.2700301264</v>
      </c>
      <c r="AL38" s="22">
        <f>('Km+hr travelled'!AK78+'Km+hr travelled'!AK86)*$N$17</f>
        <v>3665666.7358267778</v>
      </c>
      <c r="AM38" s="22">
        <f>('Km+hr travelled'!AL78+'Km+hr travelled'!AL86)*$N$17</f>
        <v>3712867.2016234272</v>
      </c>
      <c r="AN38" s="22">
        <f>('Km+hr travelled'!AM78+'Km+hr travelled'!AM86)*$N$17</f>
        <v>3760067.6674200776</v>
      </c>
      <c r="AO38" s="22">
        <f>('Km+hr travelled'!AN78+'Km+hr travelled'!AN86)*$N$17</f>
        <v>3807268.1332167271</v>
      </c>
      <c r="AP38" s="22">
        <f>('Km+hr travelled'!AO78+'Km+hr travelled'!AO86)*$N$17</f>
        <v>3854468.5990133779</v>
      </c>
      <c r="AQ38" s="22">
        <f>('Km+hr travelled'!AP78+'Km+hr travelled'!AP86)*$N$17</f>
        <v>3901669.0648100278</v>
      </c>
      <c r="AR38" s="22">
        <f>('Km+hr travelled'!AQ78+'Km+hr travelled'!AQ86)*$N$17</f>
        <v>3948869.5306066787</v>
      </c>
    </row>
    <row r="39" spans="5:44" x14ac:dyDescent="0.25">
      <c r="E39" s="12"/>
      <c r="F39" s="12" t="s">
        <v>537</v>
      </c>
      <c r="H39" s="11" t="s">
        <v>85</v>
      </c>
      <c r="I39" t="s">
        <v>893</v>
      </c>
      <c r="L39" s="64">
        <f>N39/[1]Benefits!N43</f>
        <v>1.8998282209211383</v>
      </c>
      <c r="N39" s="22">
        <f>('Km+hr travelled'!N81+'Km+hr travelled'!N89)*$N$17</f>
        <v>3691351.6954758666</v>
      </c>
      <c r="O39" s="22">
        <f>('Km+hr travelled'!N81+'Km+hr travelled'!N89)*$N$17</f>
        <v>3691351.6954758666</v>
      </c>
      <c r="P39" s="22">
        <f>('Km+hr travelled'!O81+'Km+hr travelled'!O89)*$N$17</f>
        <v>3752574.870981059</v>
      </c>
      <c r="Q39" s="22">
        <f>('Km+hr travelled'!P81+'Km+hr travelled'!P89)*$N$17</f>
        <v>3813806.6434378042</v>
      </c>
      <c r="R39" s="22">
        <f>('Km+hr travelled'!Q81+'Km+hr travelled'!Q89)*$N$17</f>
        <v>3875046.6360211195</v>
      </c>
      <c r="S39" s="22">
        <f>('Km+hr travelled'!R81+'Km+hr travelled'!R89)*$N$17</f>
        <v>3936294.4936117386</v>
      </c>
      <c r="T39" s="22">
        <f>('Km+hr travelled'!S81+'Km+hr travelled'!S89)*$N$17</f>
        <v>3997549.8812554465</v>
      </c>
      <c r="U39" s="22">
        <f>('Km+hr travelled'!T81+'Km+hr travelled'!T89)*$N$17</f>
        <v>4058812.4827517974</v>
      </c>
      <c r="V39" s="22">
        <f>('Km+hr travelled'!U81+'Km+hr travelled'!U89)*$N$17</f>
        <v>4120081.999359732</v>
      </c>
      <c r="W39" s="22">
        <f>('Km+hr travelled'!V81+'Km+hr travelled'!V89)*$N$17</f>
        <v>4181358.148608923</v>
      </c>
      <c r="X39" s="22">
        <f>('Km+hr travelled'!W81+'Km+hr travelled'!W89)*$N$17</f>
        <v>4242640.6632069498</v>
      </c>
      <c r="Y39" s="22">
        <f>('Km+hr travelled'!X81+'Km+hr travelled'!X89)*$N$17</f>
        <v>4306355.9886044925</v>
      </c>
      <c r="Z39" s="22">
        <f>('Km+hr travelled'!Y81+'Km+hr travelled'!Y89)*$N$17</f>
        <v>4370087.1032998515</v>
      </c>
      <c r="AA39" s="22">
        <f>('Km+hr travelled'!Z81+'Km+hr travelled'!Z89)*$N$17</f>
        <v>4433833.3989871806</v>
      </c>
      <c r="AB39" s="22">
        <f>('Km+hr travelled'!AA81+'Km+hr travelled'!AA89)*$N$17</f>
        <v>4497594.2982122665</v>
      </c>
      <c r="AC39" s="22">
        <f>('Km+hr travelled'!AB81+'Km+hr travelled'!AB89)*$N$17</f>
        <v>4561369.252441125</v>
      </c>
      <c r="AD39" s="22">
        <f>('Km+hr travelled'!AC81+'Km+hr travelled'!AC89)*$N$17</f>
        <v>4625157.7402719008</v>
      </c>
      <c r="AE39" s="22">
        <f>('Km+hr travelled'!AD81+'Km+hr travelled'!AD89)*$N$17</f>
        <v>4688959.2657778151</v>
      </c>
      <c r="AF39" s="22">
        <f>('Km+hr travelled'!AE81+'Km+hr travelled'!AE89)*$N$17</f>
        <v>4752773.3569700876</v>
      </c>
      <c r="AG39" s="22">
        <f>('Km+hr travelled'!AF81+'Km+hr travelled'!AF89)*$N$17</f>
        <v>4816599.5643708194</v>
      </c>
      <c r="AH39" s="22">
        <f>('Km+hr travelled'!AG81+'Km+hr travelled'!AG89)*$N$17</f>
        <v>4880437.4596867757</v>
      </c>
      <c r="AI39" s="22">
        <f>('Km+hr travelled'!AH81+'Km+hr travelled'!AH89)*$N$17</f>
        <v>4949737.0514441952</v>
      </c>
      <c r="AJ39" s="22">
        <f>('Km+hr travelled'!AI81+'Km+hr travelled'!AI89)*$N$17</f>
        <v>5019039.141388813</v>
      </c>
      <c r="AK39" s="22">
        <f>('Km+hr travelled'!AJ81+'Km+hr travelled'!AJ89)*$N$17</f>
        <v>5088343.6317591015</v>
      </c>
      <c r="AL39" s="22">
        <f>('Km+hr travelled'!AK81+'Km+hr travelled'!AK89)*$N$17</f>
        <v>5157650.4298287826</v>
      </c>
      <c r="AM39" s="22">
        <f>('Km+hr travelled'!AL81+'Km+hr travelled'!AL89)*$N$17</f>
        <v>5226959.447586772</v>
      </c>
      <c r="AN39" s="22">
        <f>('Km+hr travelled'!AM81+'Km+hr travelled'!AM89)*$N$17</f>
        <v>5296270.6014412353</v>
      </c>
      <c r="AO39" s="22">
        <f>('Km+hr travelled'!AN81+'Km+hr travelled'!AN89)*$N$17</f>
        <v>5365583.8119456405</v>
      </c>
      <c r="AP39" s="22">
        <f>('Km+hr travelled'!AO81+'Km+hr travelled'!AO89)*$N$17</f>
        <v>5434899.0035449555</v>
      </c>
      <c r="AQ39" s="22">
        <f>('Km+hr travelled'!AP81+'Km+hr travelled'!AP89)*$N$17</f>
        <v>5504216.1043402525</v>
      </c>
      <c r="AR39" s="22">
        <f>('Km+hr travelled'!AQ81+'Km+hr travelled'!AQ89)*$N$17</f>
        <v>5573535.0458702166</v>
      </c>
    </row>
    <row r="40" spans="5:44" x14ac:dyDescent="0.25">
      <c r="E40" s="12"/>
      <c r="F40" s="12" t="s">
        <v>538</v>
      </c>
      <c r="H40" s="11" t="s">
        <v>85</v>
      </c>
      <c r="I40" t="s">
        <v>893</v>
      </c>
      <c r="L40" s="64">
        <f>N40/[1]Benefits!N44</f>
        <v>2.2303060503566572</v>
      </c>
      <c r="N40" s="22">
        <f>N39-N38</f>
        <v>994982.1931516137</v>
      </c>
      <c r="O40" s="22">
        <f t="shared" ref="O40:AR40" si="4">O39-O38</f>
        <v>994982.1931516137</v>
      </c>
      <c r="P40" s="22">
        <f t="shared" si="4"/>
        <v>1015003.2702265498</v>
      </c>
      <c r="Q40" s="22">
        <f t="shared" si="4"/>
        <v>1035032.9442530386</v>
      </c>
      <c r="R40" s="22">
        <f t="shared" si="4"/>
        <v>1055070.8384060967</v>
      </c>
      <c r="S40" s="22">
        <f t="shared" si="4"/>
        <v>1075116.5975664598</v>
      </c>
      <c r="T40" s="22">
        <f t="shared" si="4"/>
        <v>1095169.8867799109</v>
      </c>
      <c r="U40" s="22">
        <f t="shared" si="4"/>
        <v>1115230.3898460059</v>
      </c>
      <c r="V40" s="22">
        <f t="shared" si="4"/>
        <v>1135297.8080236828</v>
      </c>
      <c r="W40" s="22">
        <f t="shared" si="4"/>
        <v>1155371.8588426178</v>
      </c>
      <c r="X40" s="22">
        <f t="shared" si="4"/>
        <v>1175452.2750103897</v>
      </c>
      <c r="Y40" s="22">
        <f t="shared" si="4"/>
        <v>1198199.9519635709</v>
      </c>
      <c r="Z40" s="22">
        <f t="shared" si="4"/>
        <v>1220963.4182145684</v>
      </c>
      <c r="AA40" s="22">
        <f t="shared" si="4"/>
        <v>1243742.0654575359</v>
      </c>
      <c r="AB40" s="22">
        <f t="shared" si="4"/>
        <v>1266535.316238259</v>
      </c>
      <c r="AC40" s="22">
        <f t="shared" si="4"/>
        <v>1289342.6220227559</v>
      </c>
      <c r="AD40" s="22">
        <f t="shared" si="4"/>
        <v>1312163.4614091711</v>
      </c>
      <c r="AE40" s="22">
        <f t="shared" si="4"/>
        <v>1334997.3384707239</v>
      </c>
      <c r="AF40" s="22">
        <f t="shared" si="4"/>
        <v>1357843.7812186349</v>
      </c>
      <c r="AG40" s="22">
        <f t="shared" si="4"/>
        <v>1380702.3401750042</v>
      </c>
      <c r="AH40" s="22">
        <f t="shared" si="4"/>
        <v>1403572.5870466004</v>
      </c>
      <c r="AI40" s="22">
        <f t="shared" si="4"/>
        <v>1425671.7130073695</v>
      </c>
      <c r="AJ40" s="22">
        <f t="shared" si="4"/>
        <v>1447773.337155337</v>
      </c>
      <c r="AK40" s="22">
        <f t="shared" si="4"/>
        <v>1469877.3617289751</v>
      </c>
      <c r="AL40" s="22">
        <f t="shared" si="4"/>
        <v>1491983.6940020048</v>
      </c>
      <c r="AM40" s="22">
        <f t="shared" si="4"/>
        <v>1514092.2459633448</v>
      </c>
      <c r="AN40" s="22">
        <f t="shared" si="4"/>
        <v>1536202.9340211577</v>
      </c>
      <c r="AO40" s="22">
        <f t="shared" si="4"/>
        <v>1558315.6787289134</v>
      </c>
      <c r="AP40" s="22">
        <f t="shared" si="4"/>
        <v>1580430.4045315776</v>
      </c>
      <c r="AQ40" s="22">
        <f t="shared" si="4"/>
        <v>1602547.0395302246</v>
      </c>
      <c r="AR40" s="22">
        <f t="shared" si="4"/>
        <v>1624665.5152635379</v>
      </c>
    </row>
    <row r="41" spans="5:44" x14ac:dyDescent="0.25">
      <c r="E41" s="12"/>
      <c r="F41" s="12"/>
      <c r="H41" s="11"/>
    </row>
    <row r="42" spans="5:44" ht="11" thickBot="1" x14ac:dyDescent="0.3">
      <c r="E42" s="1" t="s">
        <v>466</v>
      </c>
      <c r="F42" s="1"/>
    </row>
    <row r="43" spans="5:44" x14ac:dyDescent="0.25">
      <c r="E43" s="57"/>
      <c r="N43" s="57" t="s">
        <v>559</v>
      </c>
    </row>
    <row r="44" spans="5:44" x14ac:dyDescent="0.25">
      <c r="F44" t="s">
        <v>556</v>
      </c>
      <c r="H44" s="11" t="s">
        <v>85</v>
      </c>
      <c r="I44" t="s">
        <v>894</v>
      </c>
      <c r="L44" s="64">
        <f>N44/[1]Benefits!N48</f>
        <v>1.2205279385892134</v>
      </c>
      <c r="N44" s="22">
        <f>('Km+hr travelled'!N60+'Km+hr travelled'!N68)*$N$20</f>
        <v>22544372.668568395</v>
      </c>
      <c r="O44" s="22">
        <f>('Km+hr travelled'!O60+'Km+hr travelled'!O68)*$N$20</f>
        <v>22888863.830086898</v>
      </c>
      <c r="P44" s="22">
        <f>('Km+hr travelled'!P60+'Km+hr travelled'!P68)*$N$20</f>
        <v>23233354.991605394</v>
      </c>
      <c r="Q44" s="22">
        <f>('Km+hr travelled'!Q60+'Km+hr travelled'!Q68)*$N$20</f>
        <v>23577846.153123897</v>
      </c>
      <c r="R44" s="22">
        <f>('Km+hr travelled'!R60+'Km+hr travelled'!R68)*$N$20</f>
        <v>23922337.314642392</v>
      </c>
      <c r="S44" s="22">
        <f>('Km+hr travelled'!S60+'Km+hr travelled'!S68)*$N$20</f>
        <v>24266828.476160895</v>
      </c>
      <c r="T44" s="22">
        <f>('Km+hr travelled'!T60+'Km+hr travelled'!T68)*$N$20</f>
        <v>24611319.637679394</v>
      </c>
      <c r="U44" s="22">
        <f>('Km+hr travelled'!U60+'Km+hr travelled'!U68)*$N$20</f>
        <v>24955810.799197894</v>
      </c>
      <c r="V44" s="22">
        <f>('Km+hr travelled'!V60+'Km+hr travelled'!V68)*$N$20</f>
        <v>25300301.960716389</v>
      </c>
      <c r="W44" s="22">
        <f>('Km+hr travelled'!W60+'Km+hr travelled'!W68)*$N$20</f>
        <v>25644793.122234873</v>
      </c>
      <c r="X44" s="22">
        <f>('Km+hr travelled'!X60+'Km+hr travelled'!X68)*$N$20</f>
        <v>25987324.045051079</v>
      </c>
      <c r="Y44" s="22">
        <f>('Km+hr travelled'!Y60+'Km+hr travelled'!Y68)*$N$20</f>
        <v>26329854.967867278</v>
      </c>
      <c r="Z44" s="22">
        <f>('Km+hr travelled'!Z60+'Km+hr travelled'!Z68)*$N$20</f>
        <v>26672385.890683476</v>
      </c>
      <c r="AA44" s="22">
        <f>('Km+hr travelled'!AA60+'Km+hr travelled'!AA68)*$N$20</f>
        <v>27014916.813499682</v>
      </c>
      <c r="AB44" s="22">
        <f>('Km+hr travelled'!AB60+'Km+hr travelled'!AB68)*$N$20</f>
        <v>27357447.73631588</v>
      </c>
      <c r="AC44" s="22">
        <f>('Km+hr travelled'!AC60+'Km+hr travelled'!AC68)*$N$20</f>
        <v>27699978.659132086</v>
      </c>
      <c r="AD44" s="22">
        <f>('Km+hr travelled'!AD60+'Km+hr travelled'!AD68)*$N$20</f>
        <v>28042509.581948277</v>
      </c>
      <c r="AE44" s="22">
        <f>('Km+hr travelled'!AE60+'Km+hr travelled'!AE68)*$N$20</f>
        <v>28385040.504764482</v>
      </c>
      <c r="AF44" s="22">
        <f>('Km+hr travelled'!AF60+'Km+hr travelled'!AF68)*$N$20</f>
        <v>28727571.427580684</v>
      </c>
      <c r="AG44" s="22">
        <f>('Km+hr travelled'!AG60+'Km+hr travelled'!AG68)*$N$20</f>
        <v>29070102.350396872</v>
      </c>
      <c r="AH44" s="22">
        <f>('Km+hr travelled'!AH60+'Km+hr travelled'!AH68)*$N$20</f>
        <v>29464745.922107816</v>
      </c>
      <c r="AI44" s="22">
        <f>('Km+hr travelled'!AI60+'Km+hr travelled'!AI68)*$N$20</f>
        <v>29859389.49381876</v>
      </c>
      <c r="AJ44" s="22">
        <f>('Km+hr travelled'!AJ60+'Km+hr travelled'!AJ68)*$N$20</f>
        <v>30254033.065529704</v>
      </c>
      <c r="AK44" s="22">
        <f>('Km+hr travelled'!AK60+'Km+hr travelled'!AK68)*$N$20</f>
        <v>30648676.637240648</v>
      </c>
      <c r="AL44" s="22">
        <f>('Km+hr travelled'!AL60+'Km+hr travelled'!AL68)*$N$20</f>
        <v>31043320.208951585</v>
      </c>
      <c r="AM44" s="22">
        <f>('Km+hr travelled'!AM60+'Km+hr travelled'!AM68)*$N$20</f>
        <v>31437963.780662529</v>
      </c>
      <c r="AN44" s="22">
        <f>('Km+hr travelled'!AN60+'Km+hr travelled'!AN68)*$N$20</f>
        <v>31832607.352373473</v>
      </c>
      <c r="AO44" s="22">
        <f>('Km+hr travelled'!AO60+'Km+hr travelled'!AO68)*$N$20</f>
        <v>32227250.924084414</v>
      </c>
      <c r="AP44" s="22">
        <f>('Km+hr travelled'!AP60+'Km+hr travelled'!AP68)*$N$20</f>
        <v>32621894.495795354</v>
      </c>
      <c r="AQ44" s="22">
        <f>('Km+hr travelled'!AQ60+'Km+hr travelled'!AQ68)*$N$20</f>
        <v>33016538.067506306</v>
      </c>
      <c r="AR44" s="22">
        <f>('Km+hr travelled'!AR60+'Km+hr travelled'!AR68)*$N$20</f>
        <v>33016538.067506306</v>
      </c>
    </row>
    <row r="45" spans="5:44" x14ac:dyDescent="0.25">
      <c r="F45" t="s">
        <v>557</v>
      </c>
      <c r="H45" s="11" t="s">
        <v>85</v>
      </c>
      <c r="I45" t="s">
        <v>894</v>
      </c>
      <c r="L45" s="64">
        <f>N45/[1]Benefits!N49</f>
        <v>1.2872641416864892</v>
      </c>
      <c r="N45" s="22">
        <f>('Km+hr travelled'!N63+'Km+hr travelled'!N71)*$N$20</f>
        <v>30863428.844535336</v>
      </c>
      <c r="O45" s="22">
        <f>('Km+hr travelled'!O63+'Km+hr travelled'!O71)*$N$20</f>
        <v>31375316.433885567</v>
      </c>
      <c r="P45" s="22">
        <f>('Km+hr travelled'!P63+'Km+hr travelled'!P71)*$N$20</f>
        <v>31887275.902434636</v>
      </c>
      <c r="Q45" s="22">
        <f>('Km+hr travelled'!Q63+'Km+hr travelled'!Q71)*$N$20</f>
        <v>32399304.099545062</v>
      </c>
      <c r="R45" s="22">
        <f>('Km+hr travelled'!R63+'Km+hr travelled'!R71)*$N$20</f>
        <v>32911398.056061063</v>
      </c>
      <c r="S45" s="22">
        <f>('Km+hr travelled'!S63+'Km+hr travelled'!S71)*$N$20</f>
        <v>33423554.971427076</v>
      </c>
      <c r="T45" s="22">
        <f>('Km+hr travelled'!T63+'Km+hr travelled'!T71)*$N$20</f>
        <v>33935772.201887965</v>
      </c>
      <c r="U45" s="22">
        <f>('Km+hr travelled'!U63+'Km+hr travelled'!U71)*$N$20</f>
        <v>34448047.249666706</v>
      </c>
      <c r="V45" s="22">
        <f>('Km+hr travelled'!V63+'Km+hr travelled'!V71)*$N$20</f>
        <v>34960377.753026053</v>
      </c>
      <c r="W45" s="22">
        <f>('Km+hr travelled'!W63+'Km+hr travelled'!W71)*$N$20</f>
        <v>35472761.477131374</v>
      </c>
      <c r="X45" s="22">
        <f>('Km+hr travelled'!X63+'Km+hr travelled'!X71)*$N$20</f>
        <v>36005485.956926562</v>
      </c>
      <c r="Y45" s="22">
        <f>('Km+hr travelled'!Y63+'Km+hr travelled'!Y71)*$N$20</f>
        <v>36538342.451200418</v>
      </c>
      <c r="Z45" s="22">
        <f>('Km+hr travelled'!Z63+'Km+hr travelled'!Z71)*$N$20</f>
        <v>37071325.873901621</v>
      </c>
      <c r="AA45" s="22">
        <f>('Km+hr travelled'!AA63+'Km+hr travelled'!AA71)*$N$20</f>
        <v>37604431.396929644</v>
      </c>
      <c r="AB45" s="22">
        <f>('Km+hr travelled'!AB63+'Km+hr travelled'!AB71)*$N$20</f>
        <v>38137654.433986291</v>
      </c>
      <c r="AC45" s="22">
        <f>('Km+hr travelled'!AC63+'Km+hr travelled'!AC71)*$N$20</f>
        <v>38670990.625625409</v>
      </c>
      <c r="AD45" s="22">
        <f>('Km+hr travelled'!AD63+'Km+hr travelled'!AD71)*$N$20</f>
        <v>39204435.825398155</v>
      </c>
      <c r="AE45" s="22">
        <f>('Km+hr travelled'!AE63+'Km+hr travelled'!AE71)*$N$20</f>
        <v>39737986.08700157</v>
      </c>
      <c r="AF45" s="22">
        <f>('Km+hr travelled'!AF63+'Km+hr travelled'!AF71)*$N$20</f>
        <v>40271637.652346402</v>
      </c>
      <c r="AG45" s="22">
        <f>('Km+hr travelled'!AG63+'Km+hr travelled'!AG71)*$N$20</f>
        <v>40805386.940468602</v>
      </c>
      <c r="AH45" s="22">
        <f>('Km+hr travelled'!AH63+'Km+hr travelled'!AH71)*$N$20</f>
        <v>41384801.527754292</v>
      </c>
      <c r="AI45" s="22">
        <f>('Km+hr travelled'!AI63+'Km+hr travelled'!AI71)*$N$20</f>
        <v>41964237.002408408</v>
      </c>
      <c r="AJ45" s="22">
        <f>('Km+hr travelled'!AJ63+'Km+hr travelled'!AJ71)*$N$20</f>
        <v>42543692.547045812</v>
      </c>
      <c r="AK45" s="22">
        <f>('Km+hr travelled'!AK63+'Km+hr travelled'!AK71)*$N$20</f>
        <v>43123167.386381157</v>
      </c>
      <c r="AL45" s="22">
        <f>('Km+hr travelled'!AL63+'Km+hr travelled'!AL71)*$N$20</f>
        <v>43702660.784552909</v>
      </c>
      <c r="AM45" s="22">
        <f>('Km+hr travelled'!AM63+'Km+hr travelled'!AM71)*$N$20</f>
        <v>44282172.042648874</v>
      </c>
      <c r="AN45" s="22">
        <f>('Km+hr travelled'!AN63+'Km+hr travelled'!AN71)*$N$20</f>
        <v>44861700.496415794</v>
      </c>
      <c r="AO45" s="22">
        <f>('Km+hr travelled'!AO63+'Km+hr travelled'!AO71)*$N$20</f>
        <v>45441245.514137261</v>
      </c>
      <c r="AP45" s="22">
        <f>('Km+hr travelled'!AP63+'Km+hr travelled'!AP71)*$N$20</f>
        <v>46020806.494665653</v>
      </c>
      <c r="AQ45" s="22">
        <f>('Km+hr travelled'!AQ63+'Km+hr travelled'!AQ71)*$N$20</f>
        <v>46600382.865595207</v>
      </c>
      <c r="AR45" s="22">
        <f>('Km+hr travelled'!AR63+'Km+hr travelled'!AR71)*$N$20</f>
        <v>46600382.865595207</v>
      </c>
    </row>
    <row r="46" spans="5:44" x14ac:dyDescent="0.25">
      <c r="F46" t="s">
        <v>551</v>
      </c>
      <c r="H46" s="11" t="s">
        <v>85</v>
      </c>
      <c r="I46" t="s">
        <v>894</v>
      </c>
      <c r="L46" s="64">
        <f>N46/[1]Benefits!N50</f>
        <v>1.5111855756193231</v>
      </c>
      <c r="N46" s="22">
        <f>N45-N44</f>
        <v>8319056.1759669408</v>
      </c>
      <c r="O46" s="22">
        <f t="shared" ref="O46:AR46" si="5">O45-O44</f>
        <v>8486452.6037986688</v>
      </c>
      <c r="P46" s="22">
        <f t="shared" si="5"/>
        <v>8653920.9108292423</v>
      </c>
      <c r="Q46" s="22">
        <f t="shared" si="5"/>
        <v>8821457.946421165</v>
      </c>
      <c r="R46" s="22">
        <f t="shared" si="5"/>
        <v>8989060.7414186709</v>
      </c>
      <c r="S46" s="22">
        <f t="shared" si="5"/>
        <v>9156726.4952661805</v>
      </c>
      <c r="T46" s="22">
        <f t="shared" si="5"/>
        <v>9324452.5642085709</v>
      </c>
      <c r="U46" s="22">
        <f t="shared" si="5"/>
        <v>9492236.4504688121</v>
      </c>
      <c r="V46" s="22">
        <f t="shared" si="5"/>
        <v>9660075.7923096642</v>
      </c>
      <c r="W46" s="22">
        <f t="shared" si="5"/>
        <v>9827968.3548965007</v>
      </c>
      <c r="X46" s="22">
        <f t="shared" si="5"/>
        <v>10018161.911875483</v>
      </c>
      <c r="Y46" s="22">
        <f t="shared" si="5"/>
        <v>10208487.483333141</v>
      </c>
      <c r="Z46" s="22">
        <f t="shared" si="5"/>
        <v>10398939.983218145</v>
      </c>
      <c r="AA46" s="22">
        <f t="shared" si="5"/>
        <v>10589514.583429962</v>
      </c>
      <c r="AB46" s="22">
        <f t="shared" si="5"/>
        <v>10780206.697670411</v>
      </c>
      <c r="AC46" s="22">
        <f t="shared" si="5"/>
        <v>10971011.966493323</v>
      </c>
      <c r="AD46" s="22">
        <f t="shared" si="5"/>
        <v>11161926.243449878</v>
      </c>
      <c r="AE46" s="22">
        <f t="shared" si="5"/>
        <v>11352945.582237087</v>
      </c>
      <c r="AF46" s="22">
        <f t="shared" si="5"/>
        <v>11544066.224765718</v>
      </c>
      <c r="AG46" s="22">
        <f t="shared" si="5"/>
        <v>11735284.59007173</v>
      </c>
      <c r="AH46" s="22">
        <f t="shared" si="5"/>
        <v>11920055.605646476</v>
      </c>
      <c r="AI46" s="22">
        <f t="shared" si="5"/>
        <v>12104847.508589648</v>
      </c>
      <c r="AJ46" s="22">
        <f t="shared" si="5"/>
        <v>12289659.481516108</v>
      </c>
      <c r="AK46" s="22">
        <f t="shared" si="5"/>
        <v>12474490.749140508</v>
      </c>
      <c r="AL46" s="22">
        <f t="shared" si="5"/>
        <v>12659340.575601324</v>
      </c>
      <c r="AM46" s="22">
        <f t="shared" si="5"/>
        <v>12844208.261986345</v>
      </c>
      <c r="AN46" s="22">
        <f t="shared" si="5"/>
        <v>13029093.144042321</v>
      </c>
      <c r="AO46" s="22">
        <f t="shared" si="5"/>
        <v>13213994.590052847</v>
      </c>
      <c r="AP46" s="22">
        <f t="shared" si="5"/>
        <v>13398911.998870298</v>
      </c>
      <c r="AQ46" s="22">
        <f t="shared" si="5"/>
        <v>13583844.798088901</v>
      </c>
      <c r="AR46" s="22">
        <f t="shared" si="5"/>
        <v>13583844.798088901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99C93-90BB-4E72-9E68-FC3DF297A364}">
  <sheetPr>
    <tabColor theme="3"/>
    <pageSetUpPr autoPageBreaks="0"/>
  </sheetPr>
  <dimension ref="A1:E14"/>
  <sheetViews>
    <sheetView showGridLines="0" topLeftCell="A11" workbookViewId="0">
      <selection activeCell="H9" sqref="H9"/>
    </sheetView>
  </sheetViews>
  <sheetFormatPr defaultColWidth="9.375" defaultRowHeight="10.5" x14ac:dyDescent="0.25"/>
  <cols>
    <col min="1" max="1" width="19.625" customWidth="1"/>
    <col min="3" max="3" width="18.75" customWidth="1"/>
    <col min="4" max="4" width="26.5" customWidth="1"/>
    <col min="5" max="5" width="29.875" customWidth="1"/>
  </cols>
  <sheetData>
    <row r="1" spans="1:5" ht="31" x14ac:dyDescent="0.25">
      <c r="A1" s="6" t="str">
        <f ca="1">MID(CELL("filename",A1),FIND("]",CELL("filename",A1))+1,255)</f>
        <v>Outputs&gt;</v>
      </c>
    </row>
    <row r="6" spans="1:5" x14ac:dyDescent="0.25">
      <c r="C6" s="107" t="s">
        <v>933</v>
      </c>
      <c r="D6" s="30"/>
    </row>
    <row r="7" spans="1:5" ht="11" thickBot="1" x14ac:dyDescent="0.3">
      <c r="D7" s="2"/>
    </row>
    <row r="8" spans="1:5" ht="52.5" thickBot="1" x14ac:dyDescent="0.3">
      <c r="C8" s="108"/>
      <c r="D8" s="109" t="s">
        <v>934</v>
      </c>
      <c r="E8" s="109" t="s">
        <v>935</v>
      </c>
    </row>
    <row r="9" spans="1:5" ht="65" x14ac:dyDescent="0.25">
      <c r="C9" s="110" t="s">
        <v>936</v>
      </c>
      <c r="D9" s="110" t="s">
        <v>937</v>
      </c>
      <c r="E9" s="111" t="s">
        <v>938</v>
      </c>
    </row>
    <row r="10" spans="1:5" ht="65" x14ac:dyDescent="0.25">
      <c r="C10" s="112"/>
      <c r="D10" s="112"/>
      <c r="E10" s="111" t="s">
        <v>939</v>
      </c>
    </row>
    <row r="11" spans="1:5" ht="78.5" thickBot="1" x14ac:dyDescent="0.3">
      <c r="C11" s="113"/>
      <c r="D11" s="113"/>
      <c r="E11" s="114" t="s">
        <v>940</v>
      </c>
    </row>
    <row r="12" spans="1:5" ht="52" x14ac:dyDescent="0.25">
      <c r="C12" s="110" t="s">
        <v>941</v>
      </c>
      <c r="D12" s="110" t="s">
        <v>942</v>
      </c>
      <c r="E12" s="115" t="s">
        <v>943</v>
      </c>
    </row>
    <row r="13" spans="1:5" ht="52" x14ac:dyDescent="0.25">
      <c r="C13" s="112"/>
      <c r="D13" s="112"/>
      <c r="E13" s="115" t="s">
        <v>944</v>
      </c>
    </row>
    <row r="14" spans="1:5" ht="78.5" thickBot="1" x14ac:dyDescent="0.3">
      <c r="C14" s="113"/>
      <c r="D14" s="113"/>
      <c r="E14" s="114" t="s">
        <v>945</v>
      </c>
    </row>
  </sheetData>
  <mergeCells count="4">
    <mergeCell ref="C9:C11"/>
    <mergeCell ref="D9:D11"/>
    <mergeCell ref="C12:C14"/>
    <mergeCell ref="D12:D1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AT49"/>
  <sheetViews>
    <sheetView showGridLines="0" workbookViewId="0">
      <selection activeCell="G24" sqref="G24"/>
    </sheetView>
  </sheetViews>
  <sheetFormatPr defaultColWidth="9.125" defaultRowHeight="10.5" outlineLevelRow="1" outlineLevelCol="1" x14ac:dyDescent="0.25"/>
  <cols>
    <col min="1" max="1" width="2.875" customWidth="1"/>
    <col min="2" max="3" width="13.375" hidden="1" customWidth="1" outlineLevel="1"/>
    <col min="4" max="4" width="2.875" customWidth="1" collapsed="1"/>
    <col min="5" max="5" width="2.875" customWidth="1"/>
    <col min="6" max="6" width="50.875" customWidth="1"/>
    <col min="7" max="7" width="9.375" customWidth="1"/>
    <col min="8" max="8" width="17" customWidth="1"/>
    <col min="9" max="9" width="9.375" customWidth="1"/>
    <col min="10" max="13" width="2.875" hidden="1" customWidth="1" outlineLevel="1"/>
    <col min="14" max="14" width="14.875" customWidth="1" collapsed="1"/>
    <col min="15" max="46" width="14.875" customWidth="1"/>
  </cols>
  <sheetData>
    <row r="1" spans="1:44" ht="15.5" x14ac:dyDescent="0.25">
      <c r="A1" s="5" t="str">
        <f ca="1">MID(CELL("filename",A1),FIND("]",CELL("filename",A1))+1,255)</f>
        <v>DCF</v>
      </c>
      <c r="B1" s="5"/>
      <c r="C1" s="5"/>
      <c r="D1" s="5"/>
      <c r="E1" s="5"/>
      <c r="F1" s="5"/>
      <c r="G1" s="5"/>
      <c r="H1" s="5"/>
      <c r="I1" s="5"/>
      <c r="J1" s="5"/>
      <c r="K1" s="5"/>
      <c r="L1" s="5"/>
      <c r="M1" s="5"/>
    </row>
    <row r="3" spans="1:44" x14ac:dyDescent="0.25">
      <c r="F3" t="str">
        <f>General!F17</f>
        <v>Financial year ending</v>
      </c>
      <c r="H3" s="11" t="str">
        <f>General!H7</f>
        <v>%</v>
      </c>
      <c r="N3" s="31">
        <f>General!N17</f>
        <v>2022</v>
      </c>
      <c r="O3" s="31">
        <f>General!O17</f>
        <v>2023</v>
      </c>
      <c r="P3" s="31">
        <f>General!P17</f>
        <v>2024</v>
      </c>
      <c r="Q3" s="31">
        <f>General!Q17</f>
        <v>2025</v>
      </c>
      <c r="R3" s="31">
        <f>General!R17</f>
        <v>2026</v>
      </c>
      <c r="S3" s="31">
        <f>General!S17</f>
        <v>2027</v>
      </c>
      <c r="T3" s="31">
        <f>General!T17</f>
        <v>2028</v>
      </c>
      <c r="U3" s="31">
        <f>General!U17</f>
        <v>2029</v>
      </c>
      <c r="V3" s="31">
        <f>General!V17</f>
        <v>2030</v>
      </c>
      <c r="W3" s="31">
        <f>General!W17</f>
        <v>2031</v>
      </c>
      <c r="X3" s="31">
        <f>General!X17</f>
        <v>2032</v>
      </c>
      <c r="Y3" s="31">
        <f>General!Y17</f>
        <v>2033</v>
      </c>
      <c r="Z3" s="31">
        <f>General!Z17</f>
        <v>2034</v>
      </c>
      <c r="AA3" s="31">
        <f>General!AA17</f>
        <v>2035</v>
      </c>
      <c r="AB3" s="31">
        <f>General!AB17</f>
        <v>2036</v>
      </c>
      <c r="AC3" s="31">
        <f>General!AC17</f>
        <v>2037</v>
      </c>
      <c r="AD3" s="31">
        <f>General!AD17</f>
        <v>2038</v>
      </c>
      <c r="AE3" s="31">
        <f>General!AE17</f>
        <v>2039</v>
      </c>
      <c r="AF3" s="31">
        <f>General!AF17</f>
        <v>2040</v>
      </c>
      <c r="AG3" s="31">
        <f>General!AG17</f>
        <v>2041</v>
      </c>
      <c r="AH3" s="31">
        <f>General!AH17</f>
        <v>2042</v>
      </c>
      <c r="AI3" s="31">
        <f>General!AI17</f>
        <v>2043</v>
      </c>
      <c r="AJ3" s="31">
        <f>General!AJ17</f>
        <v>2044</v>
      </c>
      <c r="AK3" s="31">
        <f>General!AK17</f>
        <v>2045</v>
      </c>
      <c r="AL3" s="31">
        <f>General!AL17</f>
        <v>2046</v>
      </c>
      <c r="AM3" s="31">
        <f>General!AM17</f>
        <v>2047</v>
      </c>
      <c r="AN3" s="31">
        <f>General!AN17</f>
        <v>2048</v>
      </c>
      <c r="AO3" s="31">
        <f>General!AO17</f>
        <v>2049</v>
      </c>
      <c r="AP3" s="31">
        <f>General!AP17</f>
        <v>2050</v>
      </c>
      <c r="AQ3" s="31">
        <f>General!AQ17</f>
        <v>2051</v>
      </c>
      <c r="AR3" s="31">
        <f>General!AR17</f>
        <v>2052</v>
      </c>
    </row>
    <row r="4" spans="1:44" x14ac:dyDescent="0.25">
      <c r="F4" t="str">
        <f>General!F18</f>
        <v>Period number</v>
      </c>
      <c r="H4" s="11" t="str">
        <f>General!H8</f>
        <v>#</v>
      </c>
      <c r="N4" s="19">
        <f>General!N18</f>
        <v>1</v>
      </c>
      <c r="O4" s="22">
        <f>General!O18</f>
        <v>2</v>
      </c>
      <c r="P4" s="22">
        <f>General!P18</f>
        <v>3</v>
      </c>
      <c r="Q4" s="22">
        <f>General!Q18</f>
        <v>4</v>
      </c>
      <c r="R4" s="22">
        <f>General!R18</f>
        <v>5</v>
      </c>
      <c r="S4" s="22">
        <f>General!S18</f>
        <v>6</v>
      </c>
      <c r="T4" s="22">
        <f>General!T18</f>
        <v>7</v>
      </c>
      <c r="U4" s="22">
        <f>General!U18</f>
        <v>8</v>
      </c>
      <c r="V4" s="22">
        <f>General!V18</f>
        <v>9</v>
      </c>
      <c r="W4" s="22">
        <f>General!W18</f>
        <v>10</v>
      </c>
      <c r="X4" s="22">
        <f>General!X18</f>
        <v>11</v>
      </c>
      <c r="Y4" s="22">
        <f>General!Y18</f>
        <v>12</v>
      </c>
      <c r="Z4" s="22">
        <f>General!Z18</f>
        <v>13</v>
      </c>
      <c r="AA4" s="22">
        <f>General!AA18</f>
        <v>14</v>
      </c>
      <c r="AB4" s="22">
        <f>General!AB18</f>
        <v>15</v>
      </c>
      <c r="AC4" s="22">
        <f>General!AC18</f>
        <v>16</v>
      </c>
      <c r="AD4" s="22">
        <f>General!AD18</f>
        <v>17</v>
      </c>
      <c r="AE4" s="22">
        <f>General!AE18</f>
        <v>18</v>
      </c>
      <c r="AF4" s="22">
        <f>General!AF18</f>
        <v>19</v>
      </c>
      <c r="AG4" s="22">
        <f>General!AG18</f>
        <v>20</v>
      </c>
      <c r="AH4" s="22">
        <f>General!AH18</f>
        <v>21</v>
      </c>
      <c r="AI4" s="22">
        <f>General!AI18</f>
        <v>22</v>
      </c>
      <c r="AJ4" s="22">
        <f>General!AJ18</f>
        <v>23</v>
      </c>
      <c r="AK4" s="22">
        <f>General!AK18</f>
        <v>24</v>
      </c>
      <c r="AL4" s="22">
        <f>General!AL18</f>
        <v>25</v>
      </c>
      <c r="AM4" s="22">
        <f>General!AM18</f>
        <v>26</v>
      </c>
      <c r="AN4" s="22">
        <f>General!AN18</f>
        <v>27</v>
      </c>
      <c r="AO4" s="22">
        <f>General!AO18</f>
        <v>28</v>
      </c>
      <c r="AP4" s="22">
        <f>General!AP18</f>
        <v>29</v>
      </c>
      <c r="AQ4" s="22">
        <f>General!AQ18</f>
        <v>30</v>
      </c>
      <c r="AR4" s="22">
        <f>General!AR18</f>
        <v>31</v>
      </c>
    </row>
    <row r="5" spans="1:44" x14ac:dyDescent="0.25">
      <c r="F5" t="str">
        <f>General!F19</f>
        <v>Construction year</v>
      </c>
      <c r="H5" s="11" t="str">
        <f>General!H9</f>
        <v>dd/mm/yyyy</v>
      </c>
      <c r="N5" s="19">
        <f>General!N19</f>
        <v>1</v>
      </c>
      <c r="O5" s="22">
        <f>General!O19</f>
        <v>2</v>
      </c>
      <c r="P5" s="22">
        <f>General!P19</f>
        <v>3</v>
      </c>
      <c r="Q5" s="22">
        <f>General!Q19</f>
        <v>4</v>
      </c>
      <c r="R5" s="22">
        <f>General!R19</f>
        <v>5</v>
      </c>
      <c r="S5" s="22">
        <f>General!S19</f>
        <v>6</v>
      </c>
      <c r="T5" s="22">
        <f>General!T19</f>
        <v>7</v>
      </c>
      <c r="U5" s="22">
        <f>General!U19</f>
        <v>8</v>
      </c>
      <c r="V5" s="22">
        <f>General!V19</f>
        <v>9</v>
      </c>
      <c r="W5" s="22">
        <f>General!W19</f>
        <v>10</v>
      </c>
      <c r="X5" s="22" t="str">
        <f>General!X19</f>
        <v>N/A</v>
      </c>
      <c r="Y5" s="22" t="str">
        <f>General!Y19</f>
        <v>N/A</v>
      </c>
      <c r="Z5" s="22" t="str">
        <f>General!Z19</f>
        <v>N/A</v>
      </c>
      <c r="AA5" s="22" t="str">
        <f>General!AA19</f>
        <v>N/A</v>
      </c>
      <c r="AB5" s="22" t="str">
        <f>General!AB19</f>
        <v>N/A</v>
      </c>
      <c r="AC5" s="22" t="str">
        <f>General!AC19</f>
        <v>N/A</v>
      </c>
      <c r="AD5" s="22" t="str">
        <f>General!AD19</f>
        <v>N/A</v>
      </c>
      <c r="AE5" s="22" t="str">
        <f>General!AE19</f>
        <v>N/A</v>
      </c>
      <c r="AF5" s="22" t="str">
        <f>General!AF19</f>
        <v>N/A</v>
      </c>
      <c r="AG5" s="22" t="str">
        <f>General!AG19</f>
        <v>N/A</v>
      </c>
      <c r="AH5" s="22" t="str">
        <f>General!AH19</f>
        <v>N/A</v>
      </c>
      <c r="AI5" s="22" t="str">
        <f>General!AI19</f>
        <v>N/A</v>
      </c>
      <c r="AJ5" s="22" t="str">
        <f>General!AJ19</f>
        <v>N/A</v>
      </c>
      <c r="AK5" s="22" t="str">
        <f>General!AK19</f>
        <v>N/A</v>
      </c>
      <c r="AL5" s="22" t="str">
        <f>General!AL19</f>
        <v>N/A</v>
      </c>
      <c r="AM5" s="22" t="str">
        <f>General!AM19</f>
        <v>N/A</v>
      </c>
      <c r="AN5" s="22" t="str">
        <f>General!AN19</f>
        <v>N/A</v>
      </c>
      <c r="AO5" s="22" t="str">
        <f>General!AO19</f>
        <v>N/A</v>
      </c>
      <c r="AP5" s="22" t="str">
        <f>General!AP19</f>
        <v>N/A</v>
      </c>
      <c r="AQ5" s="22" t="str">
        <f>General!AQ19</f>
        <v>N/A</v>
      </c>
      <c r="AR5" s="22" t="str">
        <f>General!AR19</f>
        <v>N/A</v>
      </c>
    </row>
    <row r="6" spans="1:44" x14ac:dyDescent="0.25">
      <c r="F6" t="str">
        <f>General!F20</f>
        <v>Benefit ramp up</v>
      </c>
      <c r="H6" s="11" t="str">
        <f>General!H10</f>
        <v>dd/mm/yyyy</v>
      </c>
      <c r="N6" s="14">
        <f>General!N20</f>
        <v>0</v>
      </c>
      <c r="O6" s="14">
        <f>General!O20</f>
        <v>0.2</v>
      </c>
      <c r="P6" s="40">
        <f>General!P20</f>
        <v>0.28888888888888892</v>
      </c>
      <c r="Q6" s="40">
        <f>General!Q20</f>
        <v>0.37777777777777782</v>
      </c>
      <c r="R6" s="40">
        <f>General!R20</f>
        <v>0.46666666666666673</v>
      </c>
      <c r="S6" s="40">
        <f>General!S20</f>
        <v>0.55555555555555558</v>
      </c>
      <c r="T6" s="40">
        <f>General!T20</f>
        <v>0.64444444444444449</v>
      </c>
      <c r="U6" s="40">
        <f>General!U20</f>
        <v>0.73333333333333339</v>
      </c>
      <c r="V6" s="40">
        <f>General!V20</f>
        <v>0.8222222222222223</v>
      </c>
      <c r="W6" s="40">
        <f>General!W20</f>
        <v>0.9111111111111112</v>
      </c>
      <c r="X6" s="40">
        <f>General!X20</f>
        <v>1</v>
      </c>
      <c r="Y6" s="40">
        <f>General!Y20</f>
        <v>1</v>
      </c>
      <c r="Z6" s="40">
        <f>General!Z20</f>
        <v>1</v>
      </c>
      <c r="AA6" s="40">
        <f>General!AA20</f>
        <v>1</v>
      </c>
      <c r="AB6" s="40">
        <f>General!AB20</f>
        <v>1</v>
      </c>
      <c r="AC6" s="40">
        <f>General!AC20</f>
        <v>1</v>
      </c>
      <c r="AD6" s="40">
        <f>General!AD20</f>
        <v>1</v>
      </c>
      <c r="AE6" s="40">
        <f>General!AE20</f>
        <v>1</v>
      </c>
      <c r="AF6" s="40">
        <f>General!AF20</f>
        <v>1</v>
      </c>
      <c r="AG6" s="40">
        <f>General!AG20</f>
        <v>1</v>
      </c>
      <c r="AH6" s="40">
        <f>General!AH20</f>
        <v>1</v>
      </c>
      <c r="AI6" s="40">
        <f>General!AI20</f>
        <v>1</v>
      </c>
      <c r="AJ6" s="40">
        <f>General!AJ20</f>
        <v>1</v>
      </c>
      <c r="AK6" s="40">
        <f>General!AK20</f>
        <v>1</v>
      </c>
      <c r="AL6" s="40">
        <f>General!AL20</f>
        <v>1</v>
      </c>
      <c r="AM6" s="40">
        <f>General!AM20</f>
        <v>1</v>
      </c>
      <c r="AN6" s="40">
        <f>General!AN20</f>
        <v>1</v>
      </c>
      <c r="AO6" s="40">
        <f>General!AO20</f>
        <v>1</v>
      </c>
      <c r="AP6" s="40">
        <f>General!AP20</f>
        <v>1</v>
      </c>
      <c r="AQ6" s="40">
        <f>General!AQ20</f>
        <v>1</v>
      </c>
      <c r="AR6" s="40">
        <f>General!AR20</f>
        <v>1</v>
      </c>
    </row>
    <row r="7" spans="1:44" x14ac:dyDescent="0.25">
      <c r="F7" t="str">
        <f>General!F21</f>
        <v>Benefit year</v>
      </c>
      <c r="H7" s="11" t="str">
        <f>General!H11</f>
        <v>years</v>
      </c>
      <c r="N7" s="22">
        <f>General!N21</f>
        <v>0</v>
      </c>
      <c r="O7" s="22">
        <f>General!O21</f>
        <v>1</v>
      </c>
      <c r="P7" s="22">
        <f>General!P21</f>
        <v>2</v>
      </c>
      <c r="Q7" s="22">
        <f>General!Q21</f>
        <v>3</v>
      </c>
      <c r="R7" s="22">
        <f>General!R21</f>
        <v>4</v>
      </c>
      <c r="S7" s="22">
        <f>General!S21</f>
        <v>5</v>
      </c>
      <c r="T7" s="22">
        <f>General!T21</f>
        <v>6</v>
      </c>
      <c r="U7" s="22">
        <f>General!U21</f>
        <v>7</v>
      </c>
      <c r="V7" s="22">
        <f>General!V21</f>
        <v>8</v>
      </c>
      <c r="W7" s="22">
        <f>General!W21</f>
        <v>9</v>
      </c>
      <c r="X7" s="22">
        <f>General!X21</f>
        <v>10</v>
      </c>
      <c r="Y7" s="22">
        <f>General!Y21</f>
        <v>11</v>
      </c>
      <c r="Z7" s="22">
        <f>General!Z21</f>
        <v>12</v>
      </c>
      <c r="AA7" s="22">
        <f>General!AA21</f>
        <v>13</v>
      </c>
      <c r="AB7" s="22">
        <f>General!AB21</f>
        <v>14</v>
      </c>
      <c r="AC7" s="22">
        <f>General!AC21</f>
        <v>15</v>
      </c>
      <c r="AD7" s="22">
        <f>General!AD21</f>
        <v>16</v>
      </c>
      <c r="AE7" s="22">
        <f>General!AE21</f>
        <v>17</v>
      </c>
      <c r="AF7" s="22">
        <f>General!AF21</f>
        <v>18</v>
      </c>
      <c r="AG7" s="22">
        <f>General!AG21</f>
        <v>19</v>
      </c>
      <c r="AH7" s="22">
        <f>General!AH21</f>
        <v>20</v>
      </c>
      <c r="AI7" s="22">
        <f>General!AI21</f>
        <v>21</v>
      </c>
      <c r="AJ7" s="22">
        <f>General!AJ21</f>
        <v>22</v>
      </c>
      <c r="AK7" s="22">
        <f>General!AK21</f>
        <v>23</v>
      </c>
      <c r="AL7" s="22">
        <f>General!AL21</f>
        <v>24</v>
      </c>
      <c r="AM7" s="22">
        <f>General!AM21</f>
        <v>25</v>
      </c>
      <c r="AN7" s="22">
        <f>General!AN21</f>
        <v>26</v>
      </c>
      <c r="AO7" s="22">
        <f>General!AO21</f>
        <v>27</v>
      </c>
      <c r="AP7" s="22">
        <f>General!AP21</f>
        <v>28</v>
      </c>
      <c r="AQ7" s="22">
        <f>General!AQ21</f>
        <v>29</v>
      </c>
      <c r="AR7" s="22">
        <f>General!AR21</f>
        <v>30</v>
      </c>
    </row>
    <row r="8" spans="1:44" x14ac:dyDescent="0.25">
      <c r="F8" t="str">
        <f>General!F22</f>
        <v>Discount factor (7%)</v>
      </c>
      <c r="H8" s="11" t="str">
        <f>General!H12</f>
        <v>dd/mm/yyyy</v>
      </c>
      <c r="N8" s="27">
        <f>General!N22</f>
        <v>1</v>
      </c>
      <c r="O8" s="27">
        <f>General!O22</f>
        <v>0.93457943925233644</v>
      </c>
      <c r="P8" s="27">
        <f>General!P22</f>
        <v>0.87343872827321156</v>
      </c>
      <c r="Q8" s="27">
        <f>General!Q22</f>
        <v>0.81629787689085187</v>
      </c>
      <c r="R8" s="27">
        <f>General!R22</f>
        <v>0.7628952120475252</v>
      </c>
      <c r="S8" s="27">
        <f>General!S22</f>
        <v>0.71298617948366838</v>
      </c>
      <c r="T8" s="27">
        <f>General!T22</f>
        <v>0.66634222381651254</v>
      </c>
      <c r="U8" s="27">
        <f>General!U22</f>
        <v>0.62274974188459109</v>
      </c>
      <c r="V8" s="27">
        <f>General!V22</f>
        <v>0.5820091045650384</v>
      </c>
      <c r="W8" s="27">
        <f>General!W22</f>
        <v>0.54393374258414806</v>
      </c>
      <c r="X8" s="27">
        <f>General!X22</f>
        <v>0.5083492921347178</v>
      </c>
      <c r="Y8" s="27">
        <f>General!Y22</f>
        <v>0.47509279638758667</v>
      </c>
      <c r="Z8" s="27">
        <f>General!Z22</f>
        <v>0.44401195924073528</v>
      </c>
      <c r="AA8" s="27">
        <f>General!AA22</f>
        <v>0.41496444788853759</v>
      </c>
      <c r="AB8" s="27">
        <f>General!AB22</f>
        <v>0.3878172410173249</v>
      </c>
      <c r="AC8" s="27">
        <f>General!AC22</f>
        <v>0.36244601964235967</v>
      </c>
      <c r="AD8" s="27">
        <f>General!AD22</f>
        <v>0.33873459779659787</v>
      </c>
      <c r="AE8" s="27">
        <f>General!AE22</f>
        <v>0.31657439046411018</v>
      </c>
      <c r="AF8" s="27">
        <f>General!AF22</f>
        <v>0.29586391632159825</v>
      </c>
      <c r="AG8" s="27">
        <f>General!AG22</f>
        <v>0.27650833301083949</v>
      </c>
      <c r="AH8" s="27">
        <f>General!AH22</f>
        <v>0.2584190028138687</v>
      </c>
      <c r="AI8" s="27">
        <f>General!AI22</f>
        <v>0.24151308674193336</v>
      </c>
      <c r="AJ8" s="27">
        <f>General!AJ22</f>
        <v>0.22571316517937698</v>
      </c>
      <c r="AK8" s="27">
        <f>General!AK22</f>
        <v>0.21094688334521211</v>
      </c>
      <c r="AL8" s="27">
        <f>General!AL22</f>
        <v>0.19714661994879637</v>
      </c>
      <c r="AM8" s="27">
        <f>General!AM22</f>
        <v>0.18424917752223957</v>
      </c>
      <c r="AN8" s="27">
        <f>General!AN22</f>
        <v>0.17219549301143888</v>
      </c>
      <c r="AO8" s="27">
        <f>General!AO22</f>
        <v>0.16093036730041013</v>
      </c>
      <c r="AP8" s="27">
        <f>General!AP22</f>
        <v>0.15040221243028987</v>
      </c>
      <c r="AQ8" s="27">
        <f>General!AQ22</f>
        <v>0.1405628153554111</v>
      </c>
      <c r="AR8" s="27">
        <f>General!AR22</f>
        <v>0.13136711715458982</v>
      </c>
    </row>
    <row r="10" spans="1:44" s="13" customFormat="1" x14ac:dyDescent="0.25">
      <c r="A10" s="12"/>
      <c r="B10" s="12"/>
      <c r="C10" s="12"/>
      <c r="D10" s="13" t="s">
        <v>474</v>
      </c>
    </row>
    <row r="11" spans="1:44" ht="11.25" customHeight="1" outlineLevel="1" x14ac:dyDescent="0.25"/>
    <row r="12" spans="1:44" ht="11.25" customHeight="1" outlineLevel="1" thickBot="1" x14ac:dyDescent="0.3">
      <c r="E12" s="1" t="s">
        <v>43</v>
      </c>
      <c r="F12" s="1"/>
    </row>
    <row r="13" spans="1:44" ht="11.25" customHeight="1" outlineLevel="1" x14ac:dyDescent="0.25"/>
    <row r="14" spans="1:44" ht="11.25" customHeight="1" outlineLevel="1" x14ac:dyDescent="0.25">
      <c r="F14" s="24" t="s">
        <v>473</v>
      </c>
      <c r="H14" s="23" t="s">
        <v>45</v>
      </c>
    </row>
    <row r="15" spans="1:44" ht="11.25" customHeight="1" outlineLevel="1" x14ac:dyDescent="0.35">
      <c r="A15" s="3"/>
      <c r="B15" s="3"/>
      <c r="C15" s="3"/>
      <c r="D15" s="3"/>
      <c r="E15" s="3"/>
      <c r="F15" t="s">
        <v>68</v>
      </c>
      <c r="H15" s="22">
        <f>SUM(N15:AT15)</f>
        <v>189795000</v>
      </c>
      <c r="N15" s="22">
        <f>CAPEX!N19</f>
        <v>18979500</v>
      </c>
      <c r="O15" s="22">
        <f>CAPEX!O19</f>
        <v>18979500</v>
      </c>
      <c r="P15" s="22">
        <f>CAPEX!P19</f>
        <v>18979500</v>
      </c>
      <c r="Q15" s="22">
        <f>CAPEX!Q19</f>
        <v>18979500</v>
      </c>
      <c r="R15" s="22">
        <f>CAPEX!R19</f>
        <v>18979500</v>
      </c>
      <c r="S15" s="22">
        <f>CAPEX!S19</f>
        <v>18979500</v>
      </c>
      <c r="T15" s="22">
        <f>CAPEX!T19</f>
        <v>18979500</v>
      </c>
      <c r="U15" s="22">
        <f>CAPEX!U19</f>
        <v>18979500</v>
      </c>
      <c r="V15" s="22">
        <f>CAPEX!V19</f>
        <v>18979500</v>
      </c>
      <c r="W15" s="22">
        <f>CAPEX!W19</f>
        <v>18979500</v>
      </c>
      <c r="X15" s="22">
        <f>CAPEX!X19</f>
        <v>0</v>
      </c>
      <c r="Y15" s="22">
        <f>CAPEX!Y19</f>
        <v>0</v>
      </c>
      <c r="Z15" s="22">
        <f>CAPEX!Z19</f>
        <v>0</v>
      </c>
      <c r="AA15" s="22">
        <f>CAPEX!AA19</f>
        <v>0</v>
      </c>
      <c r="AB15" s="22">
        <f>CAPEX!AB19</f>
        <v>0</v>
      </c>
      <c r="AC15" s="22">
        <f>CAPEX!AC19</f>
        <v>0</v>
      </c>
      <c r="AD15" s="22">
        <f>CAPEX!AD19</f>
        <v>0</v>
      </c>
      <c r="AE15" s="22">
        <f>CAPEX!AE19</f>
        <v>0</v>
      </c>
      <c r="AF15" s="22">
        <f>CAPEX!AF19</f>
        <v>0</v>
      </c>
      <c r="AG15" s="22">
        <f>CAPEX!AG19</f>
        <v>0</v>
      </c>
      <c r="AH15" s="22">
        <f>CAPEX!AH19</f>
        <v>0</v>
      </c>
      <c r="AI15" s="22">
        <f>CAPEX!AI19</f>
        <v>0</v>
      </c>
      <c r="AJ15" s="22">
        <f>CAPEX!AJ19</f>
        <v>0</v>
      </c>
      <c r="AK15" s="22">
        <f>CAPEX!AK19</f>
        <v>0</v>
      </c>
      <c r="AL15" s="22">
        <f>CAPEX!AL19</f>
        <v>0</v>
      </c>
      <c r="AM15" s="22">
        <f>CAPEX!AM19</f>
        <v>0</v>
      </c>
      <c r="AN15" s="22">
        <f>CAPEX!AN19</f>
        <v>0</v>
      </c>
      <c r="AO15" s="22">
        <f>CAPEX!AO19</f>
        <v>0</v>
      </c>
      <c r="AP15" s="22">
        <f>CAPEX!AP19</f>
        <v>0</v>
      </c>
      <c r="AQ15" s="22">
        <f>CAPEX!AQ19</f>
        <v>0</v>
      </c>
      <c r="AR15" s="22">
        <f>CAPEX!AR19</f>
        <v>0</v>
      </c>
    </row>
    <row r="16" spans="1:44" ht="11.25" customHeight="1" outlineLevel="1" x14ac:dyDescent="0.35">
      <c r="A16" s="3"/>
      <c r="B16" s="3"/>
      <c r="C16" s="3"/>
      <c r="D16" s="3"/>
      <c r="E16" s="3"/>
      <c r="F16" t="s">
        <v>69</v>
      </c>
      <c r="H16" s="22">
        <f>SUM(N16:AT16)</f>
        <v>96795450</v>
      </c>
      <c r="N16" s="22">
        <f>OPEX!N19</f>
        <v>0</v>
      </c>
      <c r="O16" s="22">
        <f>OPEX!O19</f>
        <v>379590</v>
      </c>
      <c r="P16" s="22">
        <f>OPEX!P19</f>
        <v>759180</v>
      </c>
      <c r="Q16" s="22">
        <f>OPEX!Q19</f>
        <v>1138770</v>
      </c>
      <c r="R16" s="22">
        <f>OPEX!R19</f>
        <v>1518360</v>
      </c>
      <c r="S16" s="22">
        <f>OPEX!S19</f>
        <v>1897950</v>
      </c>
      <c r="T16" s="22">
        <f>OPEX!T19</f>
        <v>2277540</v>
      </c>
      <c r="U16" s="22">
        <f>OPEX!U19</f>
        <v>2657130</v>
      </c>
      <c r="V16" s="22">
        <f>OPEX!V19</f>
        <v>3036720</v>
      </c>
      <c r="W16" s="22">
        <f>OPEX!W19</f>
        <v>3416310</v>
      </c>
      <c r="X16" s="22">
        <f>OPEX!X19</f>
        <v>3795900</v>
      </c>
      <c r="Y16" s="22">
        <f>OPEX!Y19</f>
        <v>3795900</v>
      </c>
      <c r="Z16" s="22">
        <f>OPEX!Z19</f>
        <v>3795900</v>
      </c>
      <c r="AA16" s="22">
        <f>OPEX!AA19</f>
        <v>3795900</v>
      </c>
      <c r="AB16" s="22">
        <f>OPEX!AB19</f>
        <v>3795900</v>
      </c>
      <c r="AC16" s="22">
        <f>OPEX!AC19</f>
        <v>3795900</v>
      </c>
      <c r="AD16" s="22">
        <f>OPEX!AD19</f>
        <v>3795900</v>
      </c>
      <c r="AE16" s="22">
        <f>OPEX!AE19</f>
        <v>3795900</v>
      </c>
      <c r="AF16" s="22">
        <f>OPEX!AF19</f>
        <v>3795900</v>
      </c>
      <c r="AG16" s="22">
        <f>OPEX!AG19</f>
        <v>3795900</v>
      </c>
      <c r="AH16" s="22">
        <f>OPEX!AH19</f>
        <v>3795900</v>
      </c>
      <c r="AI16" s="22">
        <f>OPEX!AI19</f>
        <v>3795900</v>
      </c>
      <c r="AJ16" s="22">
        <f>OPEX!AJ19</f>
        <v>3795900</v>
      </c>
      <c r="AK16" s="22">
        <f>OPEX!AK19</f>
        <v>3795900</v>
      </c>
      <c r="AL16" s="22">
        <f>OPEX!AL19</f>
        <v>3795900</v>
      </c>
      <c r="AM16" s="22">
        <f>OPEX!AM19</f>
        <v>3795900</v>
      </c>
      <c r="AN16" s="22">
        <f>OPEX!AN19</f>
        <v>3795900</v>
      </c>
      <c r="AO16" s="22">
        <f>OPEX!AO19</f>
        <v>3795900</v>
      </c>
      <c r="AP16" s="22">
        <f>OPEX!AP19</f>
        <v>3795900</v>
      </c>
      <c r="AQ16" s="22">
        <f>OPEX!AQ19</f>
        <v>3795900</v>
      </c>
      <c r="AR16" s="22">
        <f>OPEX!AR19</f>
        <v>3795900</v>
      </c>
    </row>
    <row r="17" spans="1:46" s="24" customFormat="1" ht="11.25" customHeight="1" outlineLevel="1" x14ac:dyDescent="0.35">
      <c r="A17" s="33"/>
      <c r="B17" s="33"/>
      <c r="C17" s="33"/>
      <c r="D17" s="33"/>
      <c r="E17" s="33"/>
      <c r="F17" s="24" t="s">
        <v>46</v>
      </c>
      <c r="H17" s="34">
        <f>SUM(N17:AT17)</f>
        <v>286590450</v>
      </c>
      <c r="N17" s="34">
        <f>SUM(N15:N16)</f>
        <v>18979500</v>
      </c>
      <c r="O17" s="34">
        <f t="shared" ref="O17:AR17" si="0">SUM(O15:O16)</f>
        <v>19359090</v>
      </c>
      <c r="P17" s="34">
        <f t="shared" si="0"/>
        <v>19738680</v>
      </c>
      <c r="Q17" s="34">
        <f t="shared" si="0"/>
        <v>20118270</v>
      </c>
      <c r="R17" s="34">
        <f t="shared" si="0"/>
        <v>20497860</v>
      </c>
      <c r="S17" s="34">
        <f t="shared" si="0"/>
        <v>20877450</v>
      </c>
      <c r="T17" s="34">
        <f t="shared" si="0"/>
        <v>21257040</v>
      </c>
      <c r="U17" s="34">
        <f t="shared" si="0"/>
        <v>21636630</v>
      </c>
      <c r="V17" s="34">
        <f t="shared" si="0"/>
        <v>22016220</v>
      </c>
      <c r="W17" s="34">
        <f t="shared" si="0"/>
        <v>22395810</v>
      </c>
      <c r="X17" s="34">
        <f t="shared" si="0"/>
        <v>3795900</v>
      </c>
      <c r="Y17" s="34">
        <f t="shared" si="0"/>
        <v>3795900</v>
      </c>
      <c r="Z17" s="34">
        <f t="shared" si="0"/>
        <v>3795900</v>
      </c>
      <c r="AA17" s="34">
        <f t="shared" si="0"/>
        <v>3795900</v>
      </c>
      <c r="AB17" s="34">
        <f t="shared" si="0"/>
        <v>3795900</v>
      </c>
      <c r="AC17" s="34">
        <f t="shared" si="0"/>
        <v>3795900</v>
      </c>
      <c r="AD17" s="34">
        <f t="shared" si="0"/>
        <v>3795900</v>
      </c>
      <c r="AE17" s="34">
        <f t="shared" si="0"/>
        <v>3795900</v>
      </c>
      <c r="AF17" s="34">
        <f t="shared" si="0"/>
        <v>3795900</v>
      </c>
      <c r="AG17" s="34">
        <f t="shared" si="0"/>
        <v>3795900</v>
      </c>
      <c r="AH17" s="34">
        <f t="shared" si="0"/>
        <v>3795900</v>
      </c>
      <c r="AI17" s="34">
        <f t="shared" si="0"/>
        <v>3795900</v>
      </c>
      <c r="AJ17" s="34">
        <f t="shared" si="0"/>
        <v>3795900</v>
      </c>
      <c r="AK17" s="34">
        <f t="shared" si="0"/>
        <v>3795900</v>
      </c>
      <c r="AL17" s="34">
        <f t="shared" si="0"/>
        <v>3795900</v>
      </c>
      <c r="AM17" s="34">
        <f t="shared" si="0"/>
        <v>3795900</v>
      </c>
      <c r="AN17" s="34">
        <f t="shared" si="0"/>
        <v>3795900</v>
      </c>
      <c r="AO17" s="34">
        <f t="shared" si="0"/>
        <v>3795900</v>
      </c>
      <c r="AP17" s="34">
        <f t="shared" si="0"/>
        <v>3795900</v>
      </c>
      <c r="AQ17" s="34">
        <f t="shared" si="0"/>
        <v>3795900</v>
      </c>
      <c r="AR17" s="34">
        <f t="shared" si="0"/>
        <v>3795900</v>
      </c>
      <c r="AS17"/>
      <c r="AT17"/>
    </row>
    <row r="18" spans="1:46" ht="11.25" customHeight="1" outlineLevel="1" x14ac:dyDescent="0.35">
      <c r="A18" s="3"/>
      <c r="B18" s="3"/>
      <c r="C18" s="3"/>
      <c r="D18" s="3"/>
      <c r="E18" s="3"/>
      <c r="N18" s="4"/>
      <c r="O18" s="4"/>
    </row>
    <row r="19" spans="1:46" ht="11.25" customHeight="1" outlineLevel="1" x14ac:dyDescent="0.35">
      <c r="A19" s="3"/>
      <c r="B19" s="3"/>
      <c r="C19" s="3"/>
      <c r="D19" s="3"/>
      <c r="E19" s="3"/>
      <c r="F19" s="24" t="s">
        <v>0</v>
      </c>
      <c r="H19" s="23" t="s">
        <v>45</v>
      </c>
    </row>
    <row r="20" spans="1:46" ht="11.25" customHeight="1" outlineLevel="1" x14ac:dyDescent="0.35">
      <c r="A20" s="3"/>
      <c r="B20" s="3"/>
      <c r="C20" s="3"/>
      <c r="D20" s="3"/>
      <c r="E20" s="3"/>
      <c r="F20" t="s">
        <v>470</v>
      </c>
      <c r="H20" s="22">
        <f>SUM(N20:AT20)</f>
        <v>541705805.97889411</v>
      </c>
      <c r="N20" s="22">
        <f>Benefits!N34*N$6</f>
        <v>0</v>
      </c>
      <c r="O20" s="22">
        <f>Benefits!O34*O$6</f>
        <v>3100514.1130233561</v>
      </c>
      <c r="P20" s="22">
        <f>Benefits!P34*P$6</f>
        <v>4566897.7395945806</v>
      </c>
      <c r="Q20" s="22">
        <f>Benefits!Q34*Q$6</f>
        <v>6087714.8600258855</v>
      </c>
      <c r="R20" s="22">
        <f>Benefits!R34*R$6</f>
        <v>7662996.4230213994</v>
      </c>
      <c r="S20" s="22">
        <f>Benefits!S34*S$6</f>
        <v>9292771.6198977996</v>
      </c>
      <c r="T20" s="22">
        <f>Benefits!T34*T$6</f>
        <v>10977068.007577365</v>
      </c>
      <c r="U20" s="22">
        <f>Benefits!U34*U$6</f>
        <v>12715911.621394299</v>
      </c>
      <c r="V20" s="22">
        <f>Benefits!V34*V$6</f>
        <v>14509327.078685086</v>
      </c>
      <c r="W20" s="22">
        <f>Benefits!W34*W$6</f>
        <v>16357337.674029633</v>
      </c>
      <c r="X20" s="22">
        <f>Benefits!X34*X$6</f>
        <v>18300610.304722264</v>
      </c>
      <c r="Y20" s="22">
        <f>Benefits!Y34*Y$6</f>
        <v>18648286.270124789</v>
      </c>
      <c r="Z20" s="22">
        <f>Benefits!Z34*Z$6</f>
        <v>18996194.101183493</v>
      </c>
      <c r="AA20" s="22">
        <f>Benefits!AA34*AA$6</f>
        <v>19344324.978198022</v>
      </c>
      <c r="AB20" s="22">
        <f>Benefits!AB34*AB$6</f>
        <v>19692670.523178816</v>
      </c>
      <c r="AC20" s="22">
        <f>Benefits!AC34*AC$6</f>
        <v>20041222.772536706</v>
      </c>
      <c r="AD20" s="22">
        <f>Benefits!AD34*AD$6</f>
        <v>20389974.15177406</v>
      </c>
      <c r="AE20" s="22">
        <f>Benefits!AE34*AE$6</f>
        <v>20738917.452008273</v>
      </c>
      <c r="AF20" s="22">
        <f>Benefits!AF34*AF$6</f>
        <v>21088045.808174964</v>
      </c>
      <c r="AG20" s="22">
        <f>Benefits!AG34*AG$6</f>
        <v>21437352.678771965</v>
      </c>
      <c r="AH20" s="22">
        <f>Benefits!AH34*AH$6</f>
        <v>21774881.896345593</v>
      </c>
      <c r="AI20" s="22">
        <f>Benefits!AI34*AI$6</f>
        <v>22112449.269779846</v>
      </c>
      <c r="AJ20" s="22">
        <f>Benefits!AJ34*AJ$6</f>
        <v>22450053.30592192</v>
      </c>
      <c r="AK20" s="22">
        <f>Benefits!AK34*AK$6</f>
        <v>22787692.588524494</v>
      </c>
      <c r="AL20" s="22">
        <f>Benefits!AL34*AL$6</f>
        <v>23125365.773357421</v>
      </c>
      <c r="AM20" s="22">
        <f>Benefits!AM34*AM$6</f>
        <v>23463071.583687495</v>
      </c>
      <c r="AN20" s="22">
        <f>Benefits!AN34*AN$6</f>
        <v>23800808.806094546</v>
      </c>
      <c r="AO20" s="22">
        <f>Benefits!AO34*AO$6</f>
        <v>24138576.286594875</v>
      </c>
      <c r="AP20" s="22">
        <f>Benefits!AP34*AP$6</f>
        <v>24476372.927046016</v>
      </c>
      <c r="AQ20" s="22">
        <f>Benefits!AQ34*AQ$6</f>
        <v>24814197.681809597</v>
      </c>
      <c r="AR20" s="22">
        <f>Benefits!AR34*AR$6</f>
        <v>24814197.681809597</v>
      </c>
    </row>
    <row r="21" spans="1:46" ht="11.25" customHeight="1" outlineLevel="1" x14ac:dyDescent="0.35">
      <c r="A21" s="3"/>
      <c r="B21" s="3"/>
      <c r="C21" s="3"/>
      <c r="D21" s="3"/>
      <c r="E21" s="3"/>
      <c r="F21" t="s">
        <v>471</v>
      </c>
      <c r="H21" s="22">
        <f>SUM(N21:AT21)</f>
        <v>34917711.515387654</v>
      </c>
      <c r="N21" s="22">
        <f>Benefits!N40*N$6</f>
        <v>0</v>
      </c>
      <c r="O21" s="22">
        <f>Benefits!O40*O$6</f>
        <v>198996.43863032275</v>
      </c>
      <c r="P21" s="22">
        <f>Benefits!P40*P$6</f>
        <v>293223.16695433663</v>
      </c>
      <c r="Q21" s="22">
        <f>Benefits!Q40*Q$6</f>
        <v>391012.44560670352</v>
      </c>
      <c r="R21" s="22">
        <f>Benefits!R40*R$6</f>
        <v>492366.3912561785</v>
      </c>
      <c r="S21" s="22">
        <f>Benefits!S40*S$6</f>
        <v>597286.99864803324</v>
      </c>
      <c r="T21" s="22">
        <f>Benefits!T40*T$6</f>
        <v>705776.14925816481</v>
      </c>
      <c r="U21" s="22">
        <f>Benefits!U40*U$6</f>
        <v>817835.61922040442</v>
      </c>
      <c r="V21" s="22">
        <f>Benefits!V40*V$6</f>
        <v>933467.08659725043</v>
      </c>
      <c r="W21" s="22">
        <f>Benefits!W40*W$6</f>
        <v>1052672.1380566075</v>
      </c>
      <c r="X21" s="22">
        <f>Benefits!X40*X$6</f>
        <v>1175452.2750103897</v>
      </c>
      <c r="Y21" s="22">
        <f>Benefits!Y40*Y$6</f>
        <v>1198199.9519635709</v>
      </c>
      <c r="Z21" s="22">
        <f>Benefits!Z40*Z$6</f>
        <v>1220963.4182145684</v>
      </c>
      <c r="AA21" s="22">
        <f>Benefits!AA40*AA$6</f>
        <v>1243742.0654575359</v>
      </c>
      <c r="AB21" s="22">
        <f>Benefits!AB40*AB$6</f>
        <v>1266535.316238259</v>
      </c>
      <c r="AC21" s="22">
        <f>Benefits!AC40*AC$6</f>
        <v>1289342.6220227559</v>
      </c>
      <c r="AD21" s="22">
        <f>Benefits!AD40*AD$6</f>
        <v>1312163.4614091711</v>
      </c>
      <c r="AE21" s="22">
        <f>Benefits!AE40*AE$6</f>
        <v>1334997.3384707239</v>
      </c>
      <c r="AF21" s="22">
        <f>Benefits!AF40*AF$6</f>
        <v>1357843.7812186349</v>
      </c>
      <c r="AG21" s="22">
        <f>Benefits!AG40*AG$6</f>
        <v>1380702.3401750042</v>
      </c>
      <c r="AH21" s="22">
        <f>Benefits!AH40*AH$6</f>
        <v>1403572.5870466004</v>
      </c>
      <c r="AI21" s="22">
        <f>Benefits!AI40*AI$6</f>
        <v>1425671.7130073695</v>
      </c>
      <c r="AJ21" s="22">
        <f>Benefits!AJ40*AJ$6</f>
        <v>1447773.337155337</v>
      </c>
      <c r="AK21" s="22">
        <f>Benefits!AK40*AK$6</f>
        <v>1469877.3617289751</v>
      </c>
      <c r="AL21" s="22">
        <f>Benefits!AL40*AL$6</f>
        <v>1491983.6940020048</v>
      </c>
      <c r="AM21" s="22">
        <f>Benefits!AM40*AM$6</f>
        <v>1514092.2459633448</v>
      </c>
      <c r="AN21" s="22">
        <f>Benefits!AN40*AN$6</f>
        <v>1536202.9340211577</v>
      </c>
      <c r="AO21" s="22">
        <f>Benefits!AO40*AO$6</f>
        <v>1558315.6787289134</v>
      </c>
      <c r="AP21" s="22">
        <f>Benefits!AP40*AP$6</f>
        <v>1580430.4045315776</v>
      </c>
      <c r="AQ21" s="22">
        <f>Benefits!AQ40*AQ$6</f>
        <v>1602547.0395302246</v>
      </c>
      <c r="AR21" s="22">
        <f>Benefits!AR40*AR$6</f>
        <v>1624665.5152635379</v>
      </c>
    </row>
    <row r="22" spans="1:46" ht="11.25" customHeight="1" outlineLevel="1" x14ac:dyDescent="0.35">
      <c r="A22" s="3"/>
      <c r="B22" s="3"/>
      <c r="C22" s="3"/>
      <c r="D22" s="3"/>
      <c r="E22" s="3"/>
      <c r="F22" t="s">
        <v>472</v>
      </c>
      <c r="H22" s="22">
        <f>SUM(N22:AT22)</f>
        <v>296541830.1650421</v>
      </c>
      <c r="N22" s="22">
        <f>Benefits!N46*DCF!N$6</f>
        <v>0</v>
      </c>
      <c r="O22" s="22">
        <f>Benefits!O46*DCF!O$6</f>
        <v>1697290.5207597339</v>
      </c>
      <c r="P22" s="22">
        <f>Benefits!P46*DCF!P$6</f>
        <v>2500021.5964617813</v>
      </c>
      <c r="Q22" s="22">
        <f>Benefits!Q46*DCF!Q$6</f>
        <v>3332550.7797591072</v>
      </c>
      <c r="R22" s="22">
        <f>Benefits!R46*DCF!R$6</f>
        <v>4194895.0126620466</v>
      </c>
      <c r="S22" s="22">
        <f>Benefits!S46*DCF!S$6</f>
        <v>5087070.2751478786</v>
      </c>
      <c r="T22" s="22">
        <f>Benefits!T46*DCF!T$6</f>
        <v>6009091.6524899686</v>
      </c>
      <c r="U22" s="22">
        <f>Benefits!U46*DCF!U$6</f>
        <v>6960973.3970104624</v>
      </c>
      <c r="V22" s="22">
        <f>Benefits!V46*DCF!V$6</f>
        <v>7942728.9847879466</v>
      </c>
      <c r="W22" s="22">
        <f>Benefits!W46*DCF!W$6</f>
        <v>8954371.1677945908</v>
      </c>
      <c r="X22" s="22">
        <f>Benefits!X46*DCF!X$6</f>
        <v>10018161.911875483</v>
      </c>
      <c r="Y22" s="22">
        <f>Benefits!Y46*DCF!Y$6</f>
        <v>10208487.483333141</v>
      </c>
      <c r="Z22" s="22">
        <f>Benefits!Z46*DCF!Z$6</f>
        <v>10398939.983218145</v>
      </c>
      <c r="AA22" s="22">
        <f>Benefits!AA46*DCF!AA$6</f>
        <v>10589514.583429962</v>
      </c>
      <c r="AB22" s="22">
        <f>Benefits!AB46*DCF!AB$6</f>
        <v>10780206.697670411</v>
      </c>
      <c r="AC22" s="22">
        <f>Benefits!AC46*DCF!AC$6</f>
        <v>10971011.966493323</v>
      </c>
      <c r="AD22" s="22">
        <f>Benefits!AD46*DCF!AD$6</f>
        <v>11161926.243449878</v>
      </c>
      <c r="AE22" s="22">
        <f>Benefits!AE46*DCF!AE$6</f>
        <v>11352945.582237087</v>
      </c>
      <c r="AF22" s="22">
        <f>Benefits!AF46*DCF!AF$6</f>
        <v>11544066.224765718</v>
      </c>
      <c r="AG22" s="22">
        <f>Benefits!AG46*DCF!AG$6</f>
        <v>11735284.59007173</v>
      </c>
      <c r="AH22" s="22">
        <f>Benefits!AH46*DCF!AH$6</f>
        <v>11920055.605646476</v>
      </c>
      <c r="AI22" s="22">
        <f>Benefits!AI46*DCF!AI$6</f>
        <v>12104847.508589648</v>
      </c>
      <c r="AJ22" s="22">
        <f>Benefits!AJ46*DCF!AJ$6</f>
        <v>12289659.481516108</v>
      </c>
      <c r="AK22" s="22">
        <f>Benefits!AK46*DCF!AK$6</f>
        <v>12474490.749140508</v>
      </c>
      <c r="AL22" s="22">
        <f>Benefits!AL46*DCF!AL$6</f>
        <v>12659340.575601324</v>
      </c>
      <c r="AM22" s="22">
        <f>Benefits!AM46*DCF!AM$6</f>
        <v>12844208.261986345</v>
      </c>
      <c r="AN22" s="22">
        <f>Benefits!AN46*DCF!AN$6</f>
        <v>13029093.144042321</v>
      </c>
      <c r="AO22" s="22">
        <f>Benefits!AO46*DCF!AO$6</f>
        <v>13213994.590052847</v>
      </c>
      <c r="AP22" s="22">
        <f>Benefits!AP46*DCF!AP$6</f>
        <v>13398911.998870298</v>
      </c>
      <c r="AQ22" s="22">
        <f>Benefits!AQ46*DCF!AQ$6</f>
        <v>13583844.798088901</v>
      </c>
      <c r="AR22" s="22">
        <f>Benefits!AR46*DCF!AR$6</f>
        <v>13583844.798088901</v>
      </c>
    </row>
    <row r="23" spans="1:46" s="24" customFormat="1" ht="11.25" customHeight="1" outlineLevel="1" x14ac:dyDescent="0.35">
      <c r="A23" s="33"/>
      <c r="B23" s="33"/>
      <c r="C23" s="33"/>
      <c r="D23" s="33"/>
      <c r="E23" s="33"/>
      <c r="F23" s="24" t="s">
        <v>590</v>
      </c>
      <c r="H23" s="34">
        <f t="shared" ref="H23" si="1">SUM(N23:AT23)</f>
        <v>873165347.65932393</v>
      </c>
      <c r="N23" s="34">
        <f t="shared" ref="N23:AR23" si="2">SUM(N20:N22)</f>
        <v>0</v>
      </c>
      <c r="O23" s="34">
        <f t="shared" si="2"/>
        <v>4996801.0724134129</v>
      </c>
      <c r="P23" s="34">
        <f t="shared" si="2"/>
        <v>7360142.5030106986</v>
      </c>
      <c r="Q23" s="34">
        <f t="shared" si="2"/>
        <v>9811278.0853916965</v>
      </c>
      <c r="R23" s="34">
        <f t="shared" si="2"/>
        <v>12350257.826939624</v>
      </c>
      <c r="S23" s="34">
        <f t="shared" si="2"/>
        <v>14977128.893693712</v>
      </c>
      <c r="T23" s="34">
        <f t="shared" si="2"/>
        <v>17691935.809325498</v>
      </c>
      <c r="U23" s="34">
        <f t="shared" si="2"/>
        <v>20494720.637625165</v>
      </c>
      <c r="V23" s="34">
        <f t="shared" si="2"/>
        <v>23385523.150070284</v>
      </c>
      <c r="W23" s="34">
        <f t="shared" si="2"/>
        <v>26364380.979880832</v>
      </c>
      <c r="X23" s="34">
        <f t="shared" si="2"/>
        <v>29494224.491608135</v>
      </c>
      <c r="Y23" s="34">
        <f t="shared" si="2"/>
        <v>30054973.7054215</v>
      </c>
      <c r="Z23" s="34">
        <f t="shared" si="2"/>
        <v>30616097.502616204</v>
      </c>
      <c r="AA23" s="34">
        <f t="shared" si="2"/>
        <v>31177581.627085522</v>
      </c>
      <c r="AB23" s="34">
        <f t="shared" si="2"/>
        <v>31739412.537087485</v>
      </c>
      <c r="AC23" s="34">
        <f t="shared" si="2"/>
        <v>32301577.361052785</v>
      </c>
      <c r="AD23" s="34">
        <f t="shared" si="2"/>
        <v>32864063.856633108</v>
      </c>
      <c r="AE23" s="34">
        <f t="shared" si="2"/>
        <v>33426860.372716084</v>
      </c>
      <c r="AF23" s="34">
        <f t="shared" si="2"/>
        <v>33989955.814159319</v>
      </c>
      <c r="AG23" s="34">
        <f t="shared" si="2"/>
        <v>34553339.609018698</v>
      </c>
      <c r="AH23" s="34">
        <f t="shared" si="2"/>
        <v>35098510.08903867</v>
      </c>
      <c r="AI23" s="34">
        <f t="shared" si="2"/>
        <v>35642968.491376862</v>
      </c>
      <c r="AJ23" s="34">
        <f t="shared" si="2"/>
        <v>36187486.124593362</v>
      </c>
      <c r="AK23" s="34">
        <f t="shared" si="2"/>
        <v>36732060.699393973</v>
      </c>
      <c r="AL23" s="34">
        <f t="shared" si="2"/>
        <v>37276690.042960748</v>
      </c>
      <c r="AM23" s="34">
        <f t="shared" si="2"/>
        <v>37821372.091637187</v>
      </c>
      <c r="AN23" s="34">
        <f t="shared" si="2"/>
        <v>38366104.884158023</v>
      </c>
      <c r="AO23" s="34">
        <f t="shared" si="2"/>
        <v>38910886.555376634</v>
      </c>
      <c r="AP23" s="34">
        <f t="shared" si="2"/>
        <v>39455715.33044789</v>
      </c>
      <c r="AQ23" s="34">
        <f t="shared" si="2"/>
        <v>40000589.519428723</v>
      </c>
      <c r="AR23" s="34">
        <f t="shared" si="2"/>
        <v>40022707.99516204</v>
      </c>
      <c r="AS23"/>
      <c r="AT23"/>
    </row>
    <row r="24" spans="1:46" ht="11.25" customHeight="1" outlineLevel="1" x14ac:dyDescent="0.25"/>
    <row r="25" spans="1:46" ht="11.25" customHeight="1" outlineLevel="1" thickBot="1" x14ac:dyDescent="0.3">
      <c r="E25" s="1" t="s">
        <v>44</v>
      </c>
      <c r="F25" s="1"/>
    </row>
    <row r="26" spans="1:46" ht="11.25" customHeight="1" outlineLevel="1" x14ac:dyDescent="0.25"/>
    <row r="27" spans="1:46" ht="11.25" customHeight="1" outlineLevel="1" x14ac:dyDescent="0.25">
      <c r="F27" s="24" t="s">
        <v>473</v>
      </c>
      <c r="H27" s="23" t="s">
        <v>86</v>
      </c>
    </row>
    <row r="28" spans="1:46" ht="11.25" customHeight="1" outlineLevel="1" x14ac:dyDescent="0.35">
      <c r="A28" s="3"/>
      <c r="B28" s="3"/>
      <c r="C28" s="3"/>
      <c r="D28" s="3"/>
      <c r="E28" s="3"/>
      <c r="F28" t="s">
        <v>68</v>
      </c>
      <c r="H28" s="22">
        <f>SUM(N28:AT28)</f>
        <v>142635350.46605942</v>
      </c>
      <c r="N28" s="22">
        <f>N15*N$8</f>
        <v>18979500</v>
      </c>
      <c r="O28" s="22">
        <f t="shared" ref="O28:AR28" si="3">O15*O$8</f>
        <v>17737850.46728972</v>
      </c>
      <c r="P28" s="22">
        <f t="shared" si="3"/>
        <v>16577430.343261419</v>
      </c>
      <c r="Q28" s="22">
        <f t="shared" si="3"/>
        <v>15492925.554449923</v>
      </c>
      <c r="R28" s="22">
        <f t="shared" si="3"/>
        <v>14479369.677056005</v>
      </c>
      <c r="S28" s="22">
        <f t="shared" si="3"/>
        <v>13532121.193510285</v>
      </c>
      <c r="T28" s="22">
        <f t="shared" si="3"/>
        <v>12646842.2369255</v>
      </c>
      <c r="U28" s="22">
        <f t="shared" si="3"/>
        <v>11819478.726098597</v>
      </c>
      <c r="V28" s="22">
        <f t="shared" si="3"/>
        <v>11046241.800092146</v>
      </c>
      <c r="W28" s="22">
        <f t="shared" si="3"/>
        <v>10323590.467375837</v>
      </c>
      <c r="X28" s="22">
        <f t="shared" si="3"/>
        <v>0</v>
      </c>
      <c r="Y28" s="22">
        <f t="shared" si="3"/>
        <v>0</v>
      </c>
      <c r="Z28" s="22">
        <f t="shared" si="3"/>
        <v>0</v>
      </c>
      <c r="AA28" s="22">
        <f t="shared" si="3"/>
        <v>0</v>
      </c>
      <c r="AB28" s="22">
        <f t="shared" si="3"/>
        <v>0</v>
      </c>
      <c r="AC28" s="22">
        <f t="shared" si="3"/>
        <v>0</v>
      </c>
      <c r="AD28" s="22">
        <f t="shared" si="3"/>
        <v>0</v>
      </c>
      <c r="AE28" s="22">
        <f t="shared" si="3"/>
        <v>0</v>
      </c>
      <c r="AF28" s="22">
        <f t="shared" si="3"/>
        <v>0</v>
      </c>
      <c r="AG28" s="22">
        <f t="shared" si="3"/>
        <v>0</v>
      </c>
      <c r="AH28" s="22">
        <f t="shared" si="3"/>
        <v>0</v>
      </c>
      <c r="AI28" s="22">
        <f t="shared" si="3"/>
        <v>0</v>
      </c>
      <c r="AJ28" s="22">
        <f t="shared" si="3"/>
        <v>0</v>
      </c>
      <c r="AK28" s="22">
        <f t="shared" si="3"/>
        <v>0</v>
      </c>
      <c r="AL28" s="22">
        <f t="shared" si="3"/>
        <v>0</v>
      </c>
      <c r="AM28" s="22">
        <f t="shared" si="3"/>
        <v>0</v>
      </c>
      <c r="AN28" s="22">
        <f t="shared" si="3"/>
        <v>0</v>
      </c>
      <c r="AO28" s="22">
        <f t="shared" si="3"/>
        <v>0</v>
      </c>
      <c r="AP28" s="22">
        <f t="shared" si="3"/>
        <v>0</v>
      </c>
      <c r="AQ28" s="22">
        <f t="shared" si="3"/>
        <v>0</v>
      </c>
      <c r="AR28" s="22">
        <f t="shared" si="3"/>
        <v>0</v>
      </c>
    </row>
    <row r="29" spans="1:46" ht="11.25" customHeight="1" outlineLevel="1" x14ac:dyDescent="0.35">
      <c r="A29" s="3"/>
      <c r="B29" s="3"/>
      <c r="C29" s="3"/>
      <c r="D29" s="3"/>
      <c r="E29" s="3"/>
      <c r="F29" t="s">
        <v>69</v>
      </c>
      <c r="H29" s="22">
        <f>SUM(N29:AT29)</f>
        <v>33629293.847344019</v>
      </c>
      <c r="N29" s="22">
        <f>N16*N$8</f>
        <v>0</v>
      </c>
      <c r="O29" s="22">
        <f t="shared" ref="O29:AR29" si="4">O16*O$8</f>
        <v>354757.00934579439</v>
      </c>
      <c r="P29" s="22">
        <f t="shared" si="4"/>
        <v>663097.21373045677</v>
      </c>
      <c r="Q29" s="22">
        <f t="shared" si="4"/>
        <v>929575.53326699533</v>
      </c>
      <c r="R29" s="22">
        <f t="shared" si="4"/>
        <v>1158349.5741644804</v>
      </c>
      <c r="S29" s="22">
        <f t="shared" si="4"/>
        <v>1353212.1193510285</v>
      </c>
      <c r="T29" s="22">
        <f t="shared" si="4"/>
        <v>1517621.0684310601</v>
      </c>
      <c r="U29" s="22">
        <f t="shared" si="4"/>
        <v>1654727.0216538035</v>
      </c>
      <c r="V29" s="22">
        <f t="shared" si="4"/>
        <v>1767398.6880147434</v>
      </c>
      <c r="W29" s="22">
        <f t="shared" si="4"/>
        <v>1858246.2841276508</v>
      </c>
      <c r="X29" s="22">
        <f t="shared" si="4"/>
        <v>1929643.0780141754</v>
      </c>
      <c r="Y29" s="22">
        <f t="shared" si="4"/>
        <v>1803404.7458076403</v>
      </c>
      <c r="Z29" s="22">
        <f t="shared" si="4"/>
        <v>1685424.9960819071</v>
      </c>
      <c r="AA29" s="22">
        <f t="shared" si="4"/>
        <v>1575163.5477401</v>
      </c>
      <c r="AB29" s="22">
        <f t="shared" si="4"/>
        <v>1472115.4651776636</v>
      </c>
      <c r="AC29" s="22">
        <f t="shared" si="4"/>
        <v>1375808.8459604331</v>
      </c>
      <c r="AD29" s="22">
        <f t="shared" si="4"/>
        <v>1285802.6597761058</v>
      </c>
      <c r="AE29" s="22">
        <f t="shared" si="4"/>
        <v>1201684.7287627158</v>
      </c>
      <c r="AF29" s="22">
        <f t="shared" si="4"/>
        <v>1123069.8399651549</v>
      </c>
      <c r="AG29" s="22">
        <f t="shared" si="4"/>
        <v>1049597.9812758456</v>
      </c>
      <c r="AH29" s="22">
        <f t="shared" si="4"/>
        <v>980932.69278116419</v>
      </c>
      <c r="AI29" s="22">
        <f t="shared" si="4"/>
        <v>916759.5259637048</v>
      </c>
      <c r="AJ29" s="22">
        <f t="shared" si="4"/>
        <v>856784.6037043971</v>
      </c>
      <c r="AK29" s="22">
        <f t="shared" si="4"/>
        <v>800733.27449009067</v>
      </c>
      <c r="AL29" s="22">
        <f t="shared" si="4"/>
        <v>748348.85466363619</v>
      </c>
      <c r="AM29" s="22">
        <f t="shared" si="4"/>
        <v>699391.45295666915</v>
      </c>
      <c r="AN29" s="22">
        <f t="shared" si="4"/>
        <v>653636.8719221208</v>
      </c>
      <c r="AO29" s="22">
        <f t="shared" si="4"/>
        <v>610875.58123562683</v>
      </c>
      <c r="AP29" s="22">
        <f t="shared" si="4"/>
        <v>570911.75816413725</v>
      </c>
      <c r="AQ29" s="22">
        <f t="shared" si="4"/>
        <v>533562.390807605</v>
      </c>
      <c r="AR29" s="22">
        <f t="shared" si="4"/>
        <v>498656.44000710751</v>
      </c>
    </row>
    <row r="30" spans="1:46" s="24" customFormat="1" ht="11.25" customHeight="1" outlineLevel="1" x14ac:dyDescent="0.35">
      <c r="A30" s="33"/>
      <c r="B30" s="33"/>
      <c r="C30" s="33"/>
      <c r="D30" s="33"/>
      <c r="E30" s="33"/>
      <c r="F30" s="24" t="s">
        <v>586</v>
      </c>
      <c r="H30" s="34">
        <f>SUM(N30:AT30)</f>
        <v>176264644.31340346</v>
      </c>
      <c r="N30" s="34">
        <f>SUM(N28:N29)</f>
        <v>18979500</v>
      </c>
      <c r="O30" s="34">
        <f t="shared" ref="O30:AR30" si="5">SUM(O28:O29)</f>
        <v>18092607.476635516</v>
      </c>
      <c r="P30" s="34">
        <f t="shared" si="5"/>
        <v>17240527.556991875</v>
      </c>
      <c r="Q30" s="34">
        <f t="shared" si="5"/>
        <v>16422501.087716918</v>
      </c>
      <c r="R30" s="34">
        <f t="shared" si="5"/>
        <v>15637719.251220485</v>
      </c>
      <c r="S30" s="34">
        <f t="shared" si="5"/>
        <v>14885333.312861312</v>
      </c>
      <c r="T30" s="34">
        <f t="shared" si="5"/>
        <v>14164463.30535656</v>
      </c>
      <c r="U30" s="34">
        <f t="shared" si="5"/>
        <v>13474205.7477524</v>
      </c>
      <c r="V30" s="34">
        <f t="shared" si="5"/>
        <v>12813640.48810689</v>
      </c>
      <c r="W30" s="34">
        <f t="shared" si="5"/>
        <v>12181836.751503488</v>
      </c>
      <c r="X30" s="34">
        <f t="shared" si="5"/>
        <v>1929643.0780141754</v>
      </c>
      <c r="Y30" s="34">
        <f t="shared" si="5"/>
        <v>1803404.7458076403</v>
      </c>
      <c r="Z30" s="34">
        <f t="shared" si="5"/>
        <v>1685424.9960819071</v>
      </c>
      <c r="AA30" s="34">
        <f t="shared" si="5"/>
        <v>1575163.5477401</v>
      </c>
      <c r="AB30" s="34">
        <f t="shared" si="5"/>
        <v>1472115.4651776636</v>
      </c>
      <c r="AC30" s="34">
        <f t="shared" si="5"/>
        <v>1375808.8459604331</v>
      </c>
      <c r="AD30" s="34">
        <f t="shared" si="5"/>
        <v>1285802.6597761058</v>
      </c>
      <c r="AE30" s="34">
        <f t="shared" si="5"/>
        <v>1201684.7287627158</v>
      </c>
      <c r="AF30" s="34">
        <f t="shared" si="5"/>
        <v>1123069.8399651549</v>
      </c>
      <c r="AG30" s="34">
        <f t="shared" si="5"/>
        <v>1049597.9812758456</v>
      </c>
      <c r="AH30" s="34">
        <f t="shared" si="5"/>
        <v>980932.69278116419</v>
      </c>
      <c r="AI30" s="34">
        <f t="shared" si="5"/>
        <v>916759.5259637048</v>
      </c>
      <c r="AJ30" s="34">
        <f t="shared" si="5"/>
        <v>856784.6037043971</v>
      </c>
      <c r="AK30" s="34">
        <f t="shared" si="5"/>
        <v>800733.27449009067</v>
      </c>
      <c r="AL30" s="34">
        <f t="shared" si="5"/>
        <v>748348.85466363619</v>
      </c>
      <c r="AM30" s="34">
        <f t="shared" si="5"/>
        <v>699391.45295666915</v>
      </c>
      <c r="AN30" s="34">
        <f t="shared" si="5"/>
        <v>653636.8719221208</v>
      </c>
      <c r="AO30" s="34">
        <f t="shared" si="5"/>
        <v>610875.58123562683</v>
      </c>
      <c r="AP30" s="34">
        <f t="shared" si="5"/>
        <v>570911.75816413725</v>
      </c>
      <c r="AQ30" s="34">
        <f t="shared" si="5"/>
        <v>533562.390807605</v>
      </c>
      <c r="AR30" s="34">
        <f t="shared" si="5"/>
        <v>498656.44000710751</v>
      </c>
      <c r="AS30"/>
      <c r="AT30"/>
    </row>
    <row r="31" spans="1:46" ht="11.25" customHeight="1" outlineLevel="1" x14ac:dyDescent="0.35">
      <c r="A31" s="3"/>
      <c r="B31" s="3"/>
      <c r="C31" s="3"/>
      <c r="D31" s="3"/>
      <c r="E31" s="3"/>
      <c r="N31" s="4"/>
      <c r="O31" s="4"/>
    </row>
    <row r="32" spans="1:46" ht="11.25" customHeight="1" outlineLevel="1" x14ac:dyDescent="0.35">
      <c r="A32" s="3"/>
      <c r="B32" s="3"/>
      <c r="C32" s="3"/>
      <c r="D32" s="3"/>
      <c r="E32" s="3"/>
      <c r="F32" s="24" t="s">
        <v>0</v>
      </c>
      <c r="H32" s="23" t="s">
        <v>86</v>
      </c>
    </row>
    <row r="33" spans="1:46" ht="11.25" customHeight="1" outlineLevel="1" x14ac:dyDescent="0.35">
      <c r="A33" s="3"/>
      <c r="B33" s="3"/>
      <c r="C33" s="3"/>
      <c r="D33" s="3"/>
      <c r="E33" s="3"/>
      <c r="F33" t="s">
        <v>470</v>
      </c>
      <c r="H33" s="22">
        <f>SUM(N33:AT33)</f>
        <v>180203304.42563879</v>
      </c>
      <c r="I33" s="64">
        <f>H33/$H$36</f>
        <v>0.62042444444276668</v>
      </c>
      <c r="N33" s="22">
        <f>N20*N$8</f>
        <v>0</v>
      </c>
      <c r="O33" s="22">
        <f t="shared" ref="O33:AR33" si="6">O20*O$8</f>
        <v>2897676.7411433235</v>
      </c>
      <c r="P33" s="22">
        <f t="shared" si="6"/>
        <v>3988905.3538252949</v>
      </c>
      <c r="Q33" s="22">
        <f t="shared" si="6"/>
        <v>4969388.7153560203</v>
      </c>
      <c r="R33" s="22">
        <f t="shared" si="6"/>
        <v>5846063.281060338</v>
      </c>
      <c r="S33" s="22">
        <f t="shared" si="6"/>
        <v>6625617.734085192</v>
      </c>
      <c r="T33" s="22">
        <f t="shared" si="6"/>
        <v>7314483.9071541959</v>
      </c>
      <c r="U33" s="22">
        <f t="shared" si="6"/>
        <v>7918830.6800505714</v>
      </c>
      <c r="V33" s="22">
        <f t="shared" si="6"/>
        <v>8444560.4609067719</v>
      </c>
      <c r="W33" s="22">
        <f t="shared" si="6"/>
        <v>8897307.8997476213</v>
      </c>
      <c r="X33" s="22">
        <f t="shared" si="6"/>
        <v>9303102.2940388862</v>
      </c>
      <c r="Y33" s="22">
        <f t="shared" si="6"/>
        <v>8859666.4719098248</v>
      </c>
      <c r="Z33" s="22">
        <f t="shared" si="6"/>
        <v>8434537.3609837815</v>
      </c>
      <c r="AA33" s="22">
        <f t="shared" si="6"/>
        <v>8027207.1343543893</v>
      </c>
      <c r="AB33" s="22">
        <f t="shared" si="6"/>
        <v>7637157.1505624084</v>
      </c>
      <c r="AC33" s="22">
        <f t="shared" si="6"/>
        <v>7263861.4226717446</v>
      </c>
      <c r="AD33" s="22">
        <f t="shared" si="6"/>
        <v>6906789.6933842134</v>
      </c>
      <c r="AE33" s="22">
        <f t="shared" si="6"/>
        <v>6565410.1512550162</v>
      </c>
      <c r="AF33" s="22">
        <f t="shared" si="6"/>
        <v>6239191.8203759082</v>
      </c>
      <c r="AG33" s="22">
        <f t="shared" si="6"/>
        <v>5927606.653372691</v>
      </c>
      <c r="AH33" s="22">
        <f t="shared" si="6"/>
        <v>5627043.2660433901</v>
      </c>
      <c r="AI33" s="22">
        <f t="shared" si="6"/>
        <v>5340445.8785689408</v>
      </c>
      <c r="AJ33" s="22">
        <f t="shared" si="6"/>
        <v>5067272.5901253726</v>
      </c>
      <c r="AK33" s="22">
        <f t="shared" si="6"/>
        <v>4806992.7301780311</v>
      </c>
      <c r="AL33" s="22">
        <f t="shared" si="6"/>
        <v>4559087.6972969994</v>
      </c>
      <c r="AM33" s="22">
        <f t="shared" si="6"/>
        <v>4323051.6414398523</v>
      </c>
      <c r="AN33" s="22">
        <f t="shared" si="6"/>
        <v>4098392.0064364462</v>
      </c>
      <c r="AO33" s="22">
        <f t="shared" si="6"/>
        <v>3884629.9479106832</v>
      </c>
      <c r="AP33" s="22">
        <f t="shared" si="6"/>
        <v>3681300.6404965706</v>
      </c>
      <c r="AQ33" s="22">
        <f t="shared" si="6"/>
        <v>3487953.4869408724</v>
      </c>
      <c r="AR33" s="22">
        <f t="shared" si="6"/>
        <v>3259769.6139634326</v>
      </c>
    </row>
    <row r="34" spans="1:46" ht="11.25" customHeight="1" outlineLevel="1" x14ac:dyDescent="0.35">
      <c r="A34" s="3"/>
      <c r="B34" s="3"/>
      <c r="C34" s="3"/>
      <c r="D34" s="3"/>
      <c r="E34" s="3"/>
      <c r="F34" t="s">
        <v>471</v>
      </c>
      <c r="H34" s="22">
        <f>SUM(N34:AT34)</f>
        <v>11601042.230651909</v>
      </c>
      <c r="I34" s="64">
        <f>H34/$H$36</f>
        <v>3.9941388443736195E-2</v>
      </c>
      <c r="N34" s="22">
        <f>N21*N$8</f>
        <v>0</v>
      </c>
      <c r="O34" s="22">
        <f t="shared" ref="O34:AR34" si="7">O21*O$8</f>
        <v>185977.98002833902</v>
      </c>
      <c r="P34" s="22">
        <f t="shared" si="7"/>
        <v>256112.47004483937</v>
      </c>
      <c r="Q34" s="22">
        <f t="shared" si="7"/>
        <v>319182.62918665179</v>
      </c>
      <c r="R34" s="22">
        <f t="shared" si="7"/>
        <v>375623.96246245707</v>
      </c>
      <c r="S34" s="22">
        <f t="shared" si="7"/>
        <v>425857.37522132823</v>
      </c>
      <c r="T34" s="22">
        <f t="shared" si="7"/>
        <v>470288.44881334039</v>
      </c>
      <c r="U34" s="22">
        <f t="shared" si="7"/>
        <v>509306.9207735316</v>
      </c>
      <c r="V34" s="22">
        <f t="shared" si="7"/>
        <v>543286.3432114009</v>
      </c>
      <c r="W34" s="22">
        <f t="shared" si="7"/>
        <v>572583.89576718747</v>
      </c>
      <c r="X34" s="22">
        <f t="shared" si="7"/>
        <v>597540.33193967526</v>
      </c>
      <c r="Y34" s="22">
        <f t="shared" si="7"/>
        <v>569256.16580984497</v>
      </c>
      <c r="Z34" s="22">
        <f t="shared" si="7"/>
        <v>542122.35948271572</v>
      </c>
      <c r="AA34" s="22">
        <f t="shared" si="7"/>
        <v>516108.73950833577</v>
      </c>
      <c r="AB34" s="22">
        <f t="shared" si="7"/>
        <v>491184.23199452669</v>
      </c>
      <c r="AC34" s="22">
        <f t="shared" si="7"/>
        <v>467317.10130739131</v>
      </c>
      <c r="AD34" s="22">
        <f t="shared" si="7"/>
        <v>444475.16234382725</v>
      </c>
      <c r="AE34" s="22">
        <f t="shared" si="7"/>
        <v>422625.96869757882</v>
      </c>
      <c r="AF34" s="22">
        <f t="shared" si="7"/>
        <v>401736.97886427277</v>
      </c>
      <c r="AG34" s="22">
        <f t="shared" si="7"/>
        <v>381775.70246595546</v>
      </c>
      <c r="AH34" s="22">
        <f t="shared" si="7"/>
        <v>362709.82832146442</v>
      </c>
      <c r="AI34" s="22">
        <f t="shared" si="7"/>
        <v>344318.37608906958</v>
      </c>
      <c r="AJ34" s="22">
        <f t="shared" si="7"/>
        <v>326781.50239164039</v>
      </c>
      <c r="AK34" s="22">
        <f t="shared" si="7"/>
        <v>310066.04835641023</v>
      </c>
      <c r="AL34" s="22">
        <f t="shared" si="7"/>
        <v>294139.54229121451</v>
      </c>
      <c r="AM34" s="22">
        <f t="shared" si="7"/>
        <v>278970.25101154676</v>
      </c>
      <c r="AN34" s="22">
        <f t="shared" si="7"/>
        <v>264527.22158939217</v>
      </c>
      <c r="AO34" s="22">
        <f t="shared" si="7"/>
        <v>250780.31454783195</v>
      </c>
      <c r="AP34" s="22">
        <f t="shared" si="7"/>
        <v>237700.22943364727</v>
      </c>
      <c r="AQ34" s="22">
        <f t="shared" si="7"/>
        <v>225258.52361584766</v>
      </c>
      <c r="AR34" s="22">
        <f t="shared" si="7"/>
        <v>213427.62508064721</v>
      </c>
    </row>
    <row r="35" spans="1:46" ht="11.25" customHeight="1" outlineLevel="1" x14ac:dyDescent="0.35">
      <c r="A35" s="3"/>
      <c r="B35" s="3"/>
      <c r="C35" s="3"/>
      <c r="D35" s="3"/>
      <c r="E35" s="3"/>
      <c r="F35" t="s">
        <v>472</v>
      </c>
      <c r="H35" s="22">
        <f>SUM(N35:AT35)</f>
        <v>98647304.692630887</v>
      </c>
      <c r="I35" s="64">
        <f>H35/$H$36</f>
        <v>0.33963416711349736</v>
      </c>
      <c r="N35" s="22">
        <f>N22*N$8</f>
        <v>0</v>
      </c>
      <c r="O35" s="22">
        <f t="shared" ref="O35:AR35" si="8">O22*O$8</f>
        <v>1586252.8231399381</v>
      </c>
      <c r="P35" s="22">
        <f t="shared" si="8"/>
        <v>2183615.6838691426</v>
      </c>
      <c r="Q35" s="22">
        <f t="shared" si="8"/>
        <v>2720354.1261483119</v>
      </c>
      <c r="R35" s="22">
        <f t="shared" si="8"/>
        <v>3200265.320201918</v>
      </c>
      <c r="S35" s="22">
        <f t="shared" si="8"/>
        <v>3627010.8002426196</v>
      </c>
      <c r="T35" s="22">
        <f t="shared" si="8"/>
        <v>4004111.494837408</v>
      </c>
      <c r="U35" s="22">
        <f t="shared" si="8"/>
        <v>4334944.3862537704</v>
      </c>
      <c r="V35" s="22">
        <f t="shared" si="8"/>
        <v>4622740.5842392091</v>
      </c>
      <c r="W35" s="22">
        <f t="shared" si="8"/>
        <v>4870584.6217860999</v>
      </c>
      <c r="X35" s="22">
        <f t="shared" si="8"/>
        <v>5092725.5163928932</v>
      </c>
      <c r="Y35" s="22">
        <f t="shared" si="8"/>
        <v>4849978.8653444191</v>
      </c>
      <c r="Z35" s="22">
        <f t="shared" si="8"/>
        <v>4617253.7159755072</v>
      </c>
      <c r="AA35" s="22">
        <f t="shared" si="8"/>
        <v>4394272.0725206314</v>
      </c>
      <c r="AB35" s="22">
        <f t="shared" si="8"/>
        <v>4180750.0190870259</v>
      </c>
      <c r="AC35" s="22">
        <f t="shared" si="8"/>
        <v>3976399.6187042021</v>
      </c>
      <c r="AD35" s="22">
        <f t="shared" si="8"/>
        <v>3780930.5967102852</v>
      </c>
      <c r="AE35" s="22">
        <f t="shared" si="8"/>
        <v>3594051.8276689183</v>
      </c>
      <c r="AF35" s="22">
        <f t="shared" si="8"/>
        <v>3415472.6435350729</v>
      </c>
      <c r="AG35" s="22">
        <f t="shared" si="8"/>
        <v>3244903.9794085268</v>
      </c>
      <c r="AH35" s="22">
        <f t="shared" si="8"/>
        <v>3080368.8830970284</v>
      </c>
      <c r="AI35" s="22">
        <f t="shared" si="8"/>
        <v>2923479.0863398877</v>
      </c>
      <c r="AJ35" s="22">
        <f t="shared" si="8"/>
        <v>2773937.9405497415</v>
      </c>
      <c r="AK35" s="22">
        <f t="shared" si="8"/>
        <v>2631454.9448498706</v>
      </c>
      <c r="AL35" s="22">
        <f t="shared" si="8"/>
        <v>2495746.2052604514</v>
      </c>
      <c r="AM35" s="22">
        <f t="shared" si="8"/>
        <v>2366534.8081953381</v>
      </c>
      <c r="AN35" s="22">
        <f t="shared" si="8"/>
        <v>2243551.1174303256</v>
      </c>
      <c r="AO35" s="22">
        <f t="shared" si="8"/>
        <v>2126533.0028828369</v>
      </c>
      <c r="AP35" s="22">
        <f t="shared" si="8"/>
        <v>2015226.0087888504</v>
      </c>
      <c r="AQ35" s="22">
        <f t="shared" si="8"/>
        <v>1909383.4681703318</v>
      </c>
      <c r="AR35" s="22">
        <f t="shared" si="8"/>
        <v>1784470.5310003101</v>
      </c>
    </row>
    <row r="36" spans="1:46" s="24" customFormat="1" ht="11.25" customHeight="1" outlineLevel="1" x14ac:dyDescent="0.35">
      <c r="A36" s="33"/>
      <c r="B36" s="33"/>
      <c r="C36" s="33"/>
      <c r="D36" s="33"/>
      <c r="E36" s="33"/>
      <c r="F36" s="24" t="s">
        <v>591</v>
      </c>
      <c r="H36" s="34">
        <f t="shared" ref="H36" si="9">SUM(N36:AT36)</f>
        <v>290451651.34892154</v>
      </c>
      <c r="N36" s="34">
        <f t="shared" ref="N36:AR36" si="10">SUM(N33:N35)</f>
        <v>0</v>
      </c>
      <c r="O36" s="34">
        <f t="shared" si="10"/>
        <v>4669907.5443116007</v>
      </c>
      <c r="P36" s="34">
        <f t="shared" si="10"/>
        <v>6428633.5077392776</v>
      </c>
      <c r="Q36" s="34">
        <f t="shared" si="10"/>
        <v>8008925.4706909843</v>
      </c>
      <c r="R36" s="34">
        <f t="shared" si="10"/>
        <v>9421952.5637247134</v>
      </c>
      <c r="S36" s="34">
        <f t="shared" si="10"/>
        <v>10678485.909549139</v>
      </c>
      <c r="T36" s="34">
        <f t="shared" si="10"/>
        <v>11788883.850804944</v>
      </c>
      <c r="U36" s="34">
        <f t="shared" si="10"/>
        <v>12763081.987077873</v>
      </c>
      <c r="V36" s="34">
        <f t="shared" si="10"/>
        <v>13610587.388357382</v>
      </c>
      <c r="W36" s="34">
        <f t="shared" si="10"/>
        <v>14340476.41730091</v>
      </c>
      <c r="X36" s="34">
        <f t="shared" si="10"/>
        <v>14993368.142371453</v>
      </c>
      <c r="Y36" s="34">
        <f t="shared" si="10"/>
        <v>14278901.503064089</v>
      </c>
      <c r="Z36" s="34">
        <f t="shared" si="10"/>
        <v>13593913.436442003</v>
      </c>
      <c r="AA36" s="34">
        <f t="shared" si="10"/>
        <v>12937587.946383357</v>
      </c>
      <c r="AB36" s="34">
        <f t="shared" si="10"/>
        <v>12309091.401643962</v>
      </c>
      <c r="AC36" s="34">
        <f t="shared" si="10"/>
        <v>11707578.142683338</v>
      </c>
      <c r="AD36" s="34">
        <f t="shared" si="10"/>
        <v>11132195.452438325</v>
      </c>
      <c r="AE36" s="34">
        <f t="shared" si="10"/>
        <v>10582087.947621513</v>
      </c>
      <c r="AF36" s="34">
        <f t="shared" si="10"/>
        <v>10056401.442775253</v>
      </c>
      <c r="AG36" s="34">
        <f t="shared" si="10"/>
        <v>9554286.3352471739</v>
      </c>
      <c r="AH36" s="34">
        <f t="shared" si="10"/>
        <v>9070121.9774618819</v>
      </c>
      <c r="AI36" s="34">
        <f t="shared" si="10"/>
        <v>8608243.340997899</v>
      </c>
      <c r="AJ36" s="34">
        <f t="shared" si="10"/>
        <v>8167992.0330667542</v>
      </c>
      <c r="AK36" s="34">
        <f t="shared" si="10"/>
        <v>7748513.7233843114</v>
      </c>
      <c r="AL36" s="34">
        <f t="shared" si="10"/>
        <v>7348973.444848666</v>
      </c>
      <c r="AM36" s="34">
        <f t="shared" si="10"/>
        <v>6968556.7006467376</v>
      </c>
      <c r="AN36" s="34">
        <f t="shared" si="10"/>
        <v>6606470.3454561643</v>
      </c>
      <c r="AO36" s="34">
        <f t="shared" si="10"/>
        <v>6261943.2653413527</v>
      </c>
      <c r="AP36" s="34">
        <f t="shared" si="10"/>
        <v>5934226.8787190681</v>
      </c>
      <c r="AQ36" s="34">
        <f t="shared" si="10"/>
        <v>5622595.478727052</v>
      </c>
      <c r="AR36" s="34">
        <f t="shared" si="10"/>
        <v>5257667.7700443901</v>
      </c>
      <c r="AS36"/>
      <c r="AT36"/>
    </row>
    <row r="38" spans="1:46" x14ac:dyDescent="0.25">
      <c r="F38" s="24"/>
      <c r="G38" s="24"/>
    </row>
    <row r="39" spans="1:46" ht="11.25" customHeight="1" thickBot="1" x14ac:dyDescent="0.3">
      <c r="E39" s="1" t="s">
        <v>578</v>
      </c>
      <c r="F39" s="1"/>
    </row>
    <row r="40" spans="1:46" x14ac:dyDescent="0.25">
      <c r="N40" s="58" t="s">
        <v>565</v>
      </c>
      <c r="O40" s="58" t="s">
        <v>539</v>
      </c>
    </row>
    <row r="41" spans="1:46" x14ac:dyDescent="0.25">
      <c r="F41" t="s">
        <v>579</v>
      </c>
      <c r="G41" s="24"/>
      <c r="N41" s="34">
        <f>H36-H30</f>
        <v>114187007.03551808</v>
      </c>
      <c r="O41" s="61">
        <f>H36/H30</f>
        <v>1.647815717555305</v>
      </c>
    </row>
    <row r="42" spans="1:46" x14ac:dyDescent="0.25">
      <c r="N42">
        <f>N41/30</f>
        <v>3806233.5678506028</v>
      </c>
    </row>
    <row r="43" spans="1:46" ht="11.25" customHeight="1" thickBot="1" x14ac:dyDescent="0.3">
      <c r="E43" s="1" t="s">
        <v>587</v>
      </c>
      <c r="F43" s="1"/>
      <c r="N43" s="94">
        <f>N42/Benefit_In!Q9</f>
        <v>5.4706128087998778</v>
      </c>
    </row>
    <row r="45" spans="1:46" x14ac:dyDescent="0.25">
      <c r="F45" t="s">
        <v>439</v>
      </c>
      <c r="N45" s="63">
        <f>N3</f>
        <v>2022</v>
      </c>
      <c r="O45" s="63">
        <f t="shared" ref="O45:AR45" si="11">O3</f>
        <v>2023</v>
      </c>
      <c r="P45" s="63">
        <f t="shared" si="11"/>
        <v>2024</v>
      </c>
      <c r="Q45" s="63">
        <f t="shared" si="11"/>
        <v>2025</v>
      </c>
      <c r="R45" s="63">
        <f t="shared" si="11"/>
        <v>2026</v>
      </c>
      <c r="S45" s="63">
        <f t="shared" si="11"/>
        <v>2027</v>
      </c>
      <c r="T45" s="63">
        <f t="shared" si="11"/>
        <v>2028</v>
      </c>
      <c r="U45" s="63">
        <f t="shared" si="11"/>
        <v>2029</v>
      </c>
      <c r="V45" s="63">
        <f t="shared" si="11"/>
        <v>2030</v>
      </c>
      <c r="W45" s="63">
        <f t="shared" si="11"/>
        <v>2031</v>
      </c>
      <c r="X45" s="63">
        <f t="shared" si="11"/>
        <v>2032</v>
      </c>
      <c r="Y45" s="63">
        <f t="shared" si="11"/>
        <v>2033</v>
      </c>
      <c r="Z45" s="63">
        <f t="shared" si="11"/>
        <v>2034</v>
      </c>
      <c r="AA45" s="63">
        <f t="shared" si="11"/>
        <v>2035</v>
      </c>
      <c r="AB45" s="63">
        <f t="shared" si="11"/>
        <v>2036</v>
      </c>
      <c r="AC45" s="63">
        <f t="shared" si="11"/>
        <v>2037</v>
      </c>
      <c r="AD45" s="63">
        <f t="shared" si="11"/>
        <v>2038</v>
      </c>
      <c r="AE45" s="63">
        <f t="shared" si="11"/>
        <v>2039</v>
      </c>
      <c r="AF45" s="63">
        <f t="shared" si="11"/>
        <v>2040</v>
      </c>
      <c r="AG45" s="63">
        <f t="shared" si="11"/>
        <v>2041</v>
      </c>
      <c r="AH45" s="63">
        <f t="shared" si="11"/>
        <v>2042</v>
      </c>
      <c r="AI45" s="63">
        <f t="shared" si="11"/>
        <v>2043</v>
      </c>
      <c r="AJ45" s="63">
        <f t="shared" si="11"/>
        <v>2044</v>
      </c>
      <c r="AK45" s="63">
        <f t="shared" si="11"/>
        <v>2045</v>
      </c>
      <c r="AL45" s="63">
        <f t="shared" si="11"/>
        <v>2046</v>
      </c>
      <c r="AM45" s="63">
        <f t="shared" si="11"/>
        <v>2047</v>
      </c>
      <c r="AN45" s="63">
        <f t="shared" si="11"/>
        <v>2048</v>
      </c>
      <c r="AO45" s="63">
        <f t="shared" si="11"/>
        <v>2049</v>
      </c>
      <c r="AP45" s="63">
        <f t="shared" si="11"/>
        <v>2050</v>
      </c>
      <c r="AQ45" s="63">
        <f t="shared" si="11"/>
        <v>2051</v>
      </c>
      <c r="AR45" s="63">
        <f t="shared" si="11"/>
        <v>2052</v>
      </c>
    </row>
    <row r="46" spans="1:46" x14ac:dyDescent="0.25">
      <c r="F46" t="s">
        <v>588</v>
      </c>
      <c r="N46">
        <f>N30/1000000</f>
        <v>18.979500000000002</v>
      </c>
      <c r="O46">
        <f>N46+(O30/1000000)</f>
        <v>37.072107476635516</v>
      </c>
      <c r="P46">
        <f t="shared" ref="P46:AR46" si="12">O46+(P30/1000000)</f>
        <v>54.312635033627387</v>
      </c>
      <c r="Q46">
        <f t="shared" si="12"/>
        <v>70.735136121344311</v>
      </c>
      <c r="R46">
        <f t="shared" si="12"/>
        <v>86.3728553725648</v>
      </c>
      <c r="S46">
        <f t="shared" si="12"/>
        <v>101.25818868542612</v>
      </c>
      <c r="T46">
        <f t="shared" si="12"/>
        <v>115.42265199078268</v>
      </c>
      <c r="U46">
        <f t="shared" si="12"/>
        <v>128.89685773853509</v>
      </c>
      <c r="V46">
        <f t="shared" si="12"/>
        <v>141.71049822664199</v>
      </c>
      <c r="W46">
        <f t="shared" si="12"/>
        <v>153.89233497814547</v>
      </c>
      <c r="X46">
        <f t="shared" si="12"/>
        <v>155.82197805615965</v>
      </c>
      <c r="Y46">
        <f t="shared" si="12"/>
        <v>157.62538280196731</v>
      </c>
      <c r="Z46">
        <f t="shared" si="12"/>
        <v>159.31080779804921</v>
      </c>
      <c r="AA46">
        <f t="shared" si="12"/>
        <v>160.8859713457893</v>
      </c>
      <c r="AB46">
        <f t="shared" si="12"/>
        <v>162.35808681096697</v>
      </c>
      <c r="AC46">
        <f t="shared" si="12"/>
        <v>163.73389565692739</v>
      </c>
      <c r="AD46">
        <f t="shared" si="12"/>
        <v>165.01969831670348</v>
      </c>
      <c r="AE46">
        <f t="shared" si="12"/>
        <v>166.22138304546621</v>
      </c>
      <c r="AF46">
        <f t="shared" si="12"/>
        <v>167.34445288543137</v>
      </c>
      <c r="AG46">
        <f t="shared" si="12"/>
        <v>168.3940508667072</v>
      </c>
      <c r="AH46">
        <f t="shared" si="12"/>
        <v>169.37498355948836</v>
      </c>
      <c r="AI46">
        <f t="shared" si="12"/>
        <v>170.29174308545205</v>
      </c>
      <c r="AJ46">
        <f t="shared" si="12"/>
        <v>171.14852768915645</v>
      </c>
      <c r="AK46">
        <f t="shared" si="12"/>
        <v>171.94926096364654</v>
      </c>
      <c r="AL46">
        <f t="shared" si="12"/>
        <v>172.69760981831018</v>
      </c>
      <c r="AM46">
        <f t="shared" si="12"/>
        <v>173.39700127126684</v>
      </c>
      <c r="AN46">
        <f t="shared" si="12"/>
        <v>174.05063814318896</v>
      </c>
      <c r="AO46">
        <f t="shared" si="12"/>
        <v>174.66151372442459</v>
      </c>
      <c r="AP46">
        <f t="shared" si="12"/>
        <v>175.23242548258872</v>
      </c>
      <c r="AQ46">
        <f t="shared" si="12"/>
        <v>175.76598787339634</v>
      </c>
      <c r="AR46">
        <f t="shared" si="12"/>
        <v>176.26464431340344</v>
      </c>
    </row>
    <row r="47" spans="1:46" x14ac:dyDescent="0.25">
      <c r="F47" t="s">
        <v>589</v>
      </c>
      <c r="N47">
        <f>N36/1000000</f>
        <v>0</v>
      </c>
      <c r="O47">
        <f>N47+(O36/1000000)</f>
        <v>4.6699075443116005</v>
      </c>
      <c r="P47">
        <f t="shared" ref="P47:AR47" si="13">O47+(P36/1000000)</f>
        <v>11.098541052050878</v>
      </c>
      <c r="Q47">
        <f t="shared" si="13"/>
        <v>19.107466522741863</v>
      </c>
      <c r="R47">
        <f t="shared" si="13"/>
        <v>28.529419086466575</v>
      </c>
      <c r="S47">
        <f t="shared" si="13"/>
        <v>39.207904996015714</v>
      </c>
      <c r="T47">
        <f t="shared" si="13"/>
        <v>50.996788846820657</v>
      </c>
      <c r="U47">
        <f t="shared" si="13"/>
        <v>63.759870833898532</v>
      </c>
      <c r="V47">
        <f t="shared" si="13"/>
        <v>77.37045822225592</v>
      </c>
      <c r="W47">
        <f t="shared" si="13"/>
        <v>91.710934639556825</v>
      </c>
      <c r="X47">
        <f t="shared" si="13"/>
        <v>106.70430278192828</v>
      </c>
      <c r="Y47">
        <f t="shared" si="13"/>
        <v>120.98320428499237</v>
      </c>
      <c r="Z47">
        <f t="shared" si="13"/>
        <v>134.57711772143438</v>
      </c>
      <c r="AA47">
        <f t="shared" si="13"/>
        <v>147.51470566781774</v>
      </c>
      <c r="AB47">
        <f t="shared" si="13"/>
        <v>159.8237970694617</v>
      </c>
      <c r="AC47">
        <f t="shared" si="13"/>
        <v>171.53137521214504</v>
      </c>
      <c r="AD47">
        <f t="shared" si="13"/>
        <v>182.66357066458335</v>
      </c>
      <c r="AE47">
        <f t="shared" si="13"/>
        <v>193.24565861220486</v>
      </c>
      <c r="AF47">
        <f t="shared" si="13"/>
        <v>203.30206005498013</v>
      </c>
      <c r="AG47">
        <f t="shared" si="13"/>
        <v>212.85634639022732</v>
      </c>
      <c r="AH47">
        <f t="shared" si="13"/>
        <v>221.92646836768921</v>
      </c>
      <c r="AI47">
        <f t="shared" si="13"/>
        <v>230.5347117086871</v>
      </c>
      <c r="AJ47">
        <f t="shared" si="13"/>
        <v>238.70270374175385</v>
      </c>
      <c r="AK47">
        <f t="shared" si="13"/>
        <v>246.45121746513817</v>
      </c>
      <c r="AL47">
        <f t="shared" si="13"/>
        <v>253.80019090998684</v>
      </c>
      <c r="AM47">
        <f t="shared" si="13"/>
        <v>260.76874761063357</v>
      </c>
      <c r="AN47">
        <f t="shared" si="13"/>
        <v>267.37521795608973</v>
      </c>
      <c r="AO47">
        <f t="shared" si="13"/>
        <v>273.63716122143109</v>
      </c>
      <c r="AP47">
        <f t="shared" si="13"/>
        <v>279.57138810015016</v>
      </c>
      <c r="AQ47">
        <f t="shared" si="13"/>
        <v>285.19398357887724</v>
      </c>
      <c r="AR47">
        <f t="shared" si="13"/>
        <v>290.45165134892164</v>
      </c>
    </row>
    <row r="48" spans="1:46" x14ac:dyDescent="0.25">
      <c r="F48" t="s">
        <v>592</v>
      </c>
      <c r="N48">
        <f>N46</f>
        <v>18.979500000000002</v>
      </c>
      <c r="O48">
        <f>O46</f>
        <v>37.072107476635516</v>
      </c>
      <c r="P48">
        <f t="shared" ref="P48:R48" si="14">P46</f>
        <v>54.312635033627387</v>
      </c>
      <c r="Q48">
        <f t="shared" si="14"/>
        <v>70.735136121344311</v>
      </c>
      <c r="R48">
        <f t="shared" si="14"/>
        <v>86.3728553725648</v>
      </c>
      <c r="S48">
        <f t="shared" ref="S48:AR48" si="15">S46</f>
        <v>101.25818868542612</v>
      </c>
      <c r="T48">
        <f t="shared" si="15"/>
        <v>115.42265199078268</v>
      </c>
      <c r="U48">
        <f t="shared" si="15"/>
        <v>128.89685773853509</v>
      </c>
      <c r="V48">
        <f t="shared" si="15"/>
        <v>141.71049822664199</v>
      </c>
      <c r="W48">
        <f t="shared" si="15"/>
        <v>153.89233497814547</v>
      </c>
      <c r="X48">
        <f t="shared" si="15"/>
        <v>155.82197805615965</v>
      </c>
      <c r="Y48">
        <f t="shared" si="15"/>
        <v>157.62538280196731</v>
      </c>
      <c r="Z48">
        <f t="shared" si="15"/>
        <v>159.31080779804921</v>
      </c>
      <c r="AA48">
        <f t="shared" si="15"/>
        <v>160.8859713457893</v>
      </c>
      <c r="AB48">
        <f t="shared" si="15"/>
        <v>162.35808681096697</v>
      </c>
      <c r="AC48">
        <f t="shared" si="15"/>
        <v>163.73389565692739</v>
      </c>
      <c r="AD48">
        <f t="shared" si="15"/>
        <v>165.01969831670348</v>
      </c>
      <c r="AE48">
        <f t="shared" si="15"/>
        <v>166.22138304546621</v>
      </c>
      <c r="AF48">
        <f t="shared" si="15"/>
        <v>167.34445288543137</v>
      </c>
      <c r="AG48">
        <f t="shared" si="15"/>
        <v>168.3940508667072</v>
      </c>
      <c r="AH48">
        <f t="shared" si="15"/>
        <v>169.37498355948836</v>
      </c>
      <c r="AI48">
        <f t="shared" si="15"/>
        <v>170.29174308545205</v>
      </c>
      <c r="AJ48">
        <f t="shared" si="15"/>
        <v>171.14852768915645</v>
      </c>
      <c r="AK48">
        <f t="shared" si="15"/>
        <v>171.94926096364654</v>
      </c>
      <c r="AL48">
        <f t="shared" si="15"/>
        <v>172.69760981831018</v>
      </c>
      <c r="AM48">
        <f t="shared" si="15"/>
        <v>173.39700127126684</v>
      </c>
      <c r="AN48">
        <f t="shared" si="15"/>
        <v>174.05063814318896</v>
      </c>
      <c r="AO48">
        <f t="shared" si="15"/>
        <v>174.66151372442459</v>
      </c>
      <c r="AP48">
        <f t="shared" si="15"/>
        <v>175.23242548258872</v>
      </c>
      <c r="AQ48">
        <f t="shared" si="15"/>
        <v>175.76598787339634</v>
      </c>
      <c r="AR48">
        <f t="shared" si="15"/>
        <v>176.26464431340344</v>
      </c>
    </row>
    <row r="49" spans="6:44" x14ac:dyDescent="0.25">
      <c r="F49" t="s">
        <v>880</v>
      </c>
      <c r="N49">
        <f>N47-N46</f>
        <v>-18.979500000000002</v>
      </c>
      <c r="O49">
        <f t="shared" ref="O49" si="16">O47-O46</f>
        <v>-32.402199932323917</v>
      </c>
      <c r="P49">
        <f t="shared" ref="P49" si="17">P47-P46</f>
        <v>-43.214093981576511</v>
      </c>
      <c r="Q49">
        <f t="shared" ref="Q49" si="18">Q47-Q46</f>
        <v>-51.627669598602452</v>
      </c>
      <c r="R49">
        <f t="shared" ref="R49" si="19">R47-R46</f>
        <v>-57.843436286098225</v>
      </c>
      <c r="S49">
        <f t="shared" ref="S49" si="20">S47-S46</f>
        <v>-62.050283689410406</v>
      </c>
      <c r="T49">
        <f t="shared" ref="T49" si="21">T47-T46</f>
        <v>-64.425863143962033</v>
      </c>
      <c r="U49">
        <f t="shared" ref="U49" si="22">U47-U46</f>
        <v>-65.136986904636558</v>
      </c>
      <c r="V49">
        <f t="shared" ref="V49" si="23">V47-V46</f>
        <v>-64.340040004386069</v>
      </c>
      <c r="W49">
        <f t="shared" ref="W49" si="24">W47-W46</f>
        <v>-62.181400338588645</v>
      </c>
      <c r="X49">
        <f t="shared" ref="X49" si="25">X47-X46</f>
        <v>-49.117675274231374</v>
      </c>
      <c r="Y49">
        <f t="shared" ref="Y49" si="26">Y47-Y46</f>
        <v>-36.642178516974937</v>
      </c>
      <c r="Z49">
        <f t="shared" ref="Z49" si="27">Z47-Z46</f>
        <v>-24.733690076614835</v>
      </c>
      <c r="AA49">
        <f t="shared" ref="AA49" si="28">AA47-AA46</f>
        <v>-13.371265677971564</v>
      </c>
      <c r="AB49">
        <f t="shared" ref="AB49" si="29">AB47-AB46</f>
        <v>-2.5342897415052619</v>
      </c>
      <c r="AC49">
        <f t="shared" ref="AC49" si="30">AC47-AC46</f>
        <v>7.7974795552176488</v>
      </c>
      <c r="AD49">
        <f t="shared" ref="AD49" si="31">AD47-AD46</f>
        <v>17.643872347879864</v>
      </c>
      <c r="AE49">
        <f t="shared" ref="AE49" si="32">AE47-AE46</f>
        <v>27.024275566738652</v>
      </c>
      <c r="AF49">
        <f t="shared" ref="AF49" si="33">AF47-AF46</f>
        <v>35.957607169548766</v>
      </c>
      <c r="AG49">
        <f t="shared" ref="AG49" si="34">AG47-AG46</f>
        <v>44.462295523520112</v>
      </c>
      <c r="AH49">
        <f t="shared" ref="AH49" si="35">AH47-AH46</f>
        <v>52.551484808200854</v>
      </c>
      <c r="AI49">
        <f t="shared" ref="AI49" si="36">AI47-AI46</f>
        <v>60.242968623235043</v>
      </c>
      <c r="AJ49">
        <f t="shared" ref="AJ49" si="37">AJ47-AJ46</f>
        <v>67.554176052597398</v>
      </c>
      <c r="AK49">
        <f t="shared" ref="AK49" si="38">AK47-AK46</f>
        <v>74.501956501491634</v>
      </c>
      <c r="AL49">
        <f t="shared" ref="AL49" si="39">AL47-AL46</f>
        <v>81.102581091676655</v>
      </c>
      <c r="AM49">
        <f t="shared" ref="AM49" si="40">AM47-AM46</f>
        <v>87.371746339366723</v>
      </c>
      <c r="AN49">
        <f t="shared" ref="AN49" si="41">AN47-AN46</f>
        <v>93.324579812900765</v>
      </c>
      <c r="AO49">
        <f t="shared" ref="AO49" si="42">AO47-AO46</f>
        <v>98.975647497006491</v>
      </c>
      <c r="AP49">
        <f t="shared" ref="AP49" si="43">AP47-AP46</f>
        <v>104.33896261756144</v>
      </c>
      <c r="AQ49">
        <f t="shared" ref="AQ49" si="44">AQ47-AQ46</f>
        <v>109.4279957054809</v>
      </c>
      <c r="AR49">
        <f t="shared" ref="AR49" si="45">AR47-AR46</f>
        <v>114.18700703551821</v>
      </c>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91386-B15D-4169-8E2A-030FF6496910}">
  <sheetPr>
    <tabColor theme="3"/>
    <pageSetUpPr autoPageBreaks="0"/>
  </sheetPr>
  <dimension ref="A1:C4"/>
  <sheetViews>
    <sheetView showGridLines="0" workbookViewId="0">
      <selection activeCell="G24" sqref="G24"/>
    </sheetView>
  </sheetViews>
  <sheetFormatPr defaultColWidth="9.375" defaultRowHeight="10.5" x14ac:dyDescent="0.25"/>
  <cols>
    <col min="1" max="1" width="2.875" customWidth="1"/>
    <col min="2" max="2" width="12.5" customWidth="1"/>
    <col min="3" max="3" width="42.375" customWidth="1"/>
  </cols>
  <sheetData>
    <row r="1" spans="1:3" ht="31" x14ac:dyDescent="0.25">
      <c r="A1" s="6" t="str">
        <f ca="1">MID(CELL("filename",A1),FIND("]",CELL("filename",A1))+1,255)</f>
        <v>Sens tests&gt;</v>
      </c>
    </row>
    <row r="4" spans="1:3" x14ac:dyDescent="0.25">
      <c r="C4" s="32" t="s">
        <v>87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0492-9ED7-4FEC-A6B6-40822CFE9B2B}">
  <sheetPr>
    <pageSetUpPr autoPageBreaks="0"/>
  </sheetPr>
  <dimension ref="A1:AT39"/>
  <sheetViews>
    <sheetView showGridLines="0" topLeftCell="A7" workbookViewId="0">
      <selection activeCell="G24" sqref="G24"/>
    </sheetView>
  </sheetViews>
  <sheetFormatPr defaultColWidth="9.125" defaultRowHeight="10.5" outlineLevelRow="1" outlineLevelCol="1" x14ac:dyDescent="0.25"/>
  <cols>
    <col min="1" max="1" width="2.875" customWidth="1"/>
    <col min="2" max="3" width="13.375" hidden="1" customWidth="1" outlineLevel="1"/>
    <col min="4" max="4" width="2.875" customWidth="1" collapsed="1"/>
    <col min="5" max="5" width="2.875" customWidth="1"/>
    <col min="6" max="6" width="50.875" customWidth="1"/>
    <col min="7" max="7" width="9.375" customWidth="1"/>
    <col min="8" max="8" width="17" customWidth="1"/>
    <col min="9" max="9" width="9.375" customWidth="1"/>
    <col min="10" max="13" width="2.875" hidden="1" customWidth="1" outlineLevel="1"/>
    <col min="14" max="14" width="14.875" customWidth="1" collapsed="1"/>
    <col min="15" max="46" width="14.875" customWidth="1"/>
  </cols>
  <sheetData>
    <row r="1" spans="1:44" ht="15.5" x14ac:dyDescent="0.25">
      <c r="A1" s="5" t="str">
        <f ca="1">MID(CELL("filename",A1),FIND("]",CELL("filename",A1))+1,255)</f>
        <v>4%</v>
      </c>
      <c r="B1" s="5"/>
      <c r="C1" s="5"/>
      <c r="D1" s="5"/>
      <c r="E1" s="5"/>
      <c r="F1" s="5"/>
      <c r="G1" s="5"/>
      <c r="H1" s="5"/>
      <c r="I1" s="5"/>
      <c r="J1" s="5"/>
      <c r="K1" s="5"/>
      <c r="L1" s="5"/>
      <c r="M1" s="5"/>
    </row>
    <row r="3" spans="1:44" x14ac:dyDescent="0.25">
      <c r="F3" t="str">
        <f>General!F17</f>
        <v>Financial year ending</v>
      </c>
      <c r="H3" s="11" t="str">
        <f>General!H7</f>
        <v>%</v>
      </c>
      <c r="N3" s="31">
        <f>General!N17</f>
        <v>2022</v>
      </c>
      <c r="O3" s="31">
        <f>General!O17</f>
        <v>2023</v>
      </c>
      <c r="P3" s="31">
        <f>General!P17</f>
        <v>2024</v>
      </c>
      <c r="Q3" s="31">
        <f>General!Q17</f>
        <v>2025</v>
      </c>
      <c r="R3" s="31">
        <f>General!R17</f>
        <v>2026</v>
      </c>
      <c r="S3" s="31">
        <f>General!S17</f>
        <v>2027</v>
      </c>
      <c r="T3" s="31">
        <f>General!T17</f>
        <v>2028</v>
      </c>
      <c r="U3" s="31">
        <f>General!U17</f>
        <v>2029</v>
      </c>
      <c r="V3" s="31">
        <f>General!V17</f>
        <v>2030</v>
      </c>
      <c r="W3" s="31">
        <f>General!W17</f>
        <v>2031</v>
      </c>
      <c r="X3" s="31">
        <f>General!X17</f>
        <v>2032</v>
      </c>
      <c r="Y3" s="31">
        <f>General!Y17</f>
        <v>2033</v>
      </c>
      <c r="Z3" s="31">
        <f>General!Z17</f>
        <v>2034</v>
      </c>
      <c r="AA3" s="31">
        <f>General!AA17</f>
        <v>2035</v>
      </c>
      <c r="AB3" s="31">
        <f>General!AB17</f>
        <v>2036</v>
      </c>
      <c r="AC3" s="31">
        <f>General!AC17</f>
        <v>2037</v>
      </c>
      <c r="AD3" s="31">
        <f>General!AD17</f>
        <v>2038</v>
      </c>
      <c r="AE3" s="31">
        <f>General!AE17</f>
        <v>2039</v>
      </c>
      <c r="AF3" s="31">
        <f>General!AF17</f>
        <v>2040</v>
      </c>
      <c r="AG3" s="31">
        <f>General!AG17</f>
        <v>2041</v>
      </c>
      <c r="AH3" s="31">
        <f>General!AH17</f>
        <v>2042</v>
      </c>
      <c r="AI3" s="31">
        <f>General!AI17</f>
        <v>2043</v>
      </c>
      <c r="AJ3" s="31">
        <f>General!AJ17</f>
        <v>2044</v>
      </c>
      <c r="AK3" s="31">
        <f>General!AK17</f>
        <v>2045</v>
      </c>
      <c r="AL3" s="31">
        <f>General!AL17</f>
        <v>2046</v>
      </c>
      <c r="AM3" s="31">
        <f>General!AM17</f>
        <v>2047</v>
      </c>
      <c r="AN3" s="31">
        <f>General!AN17</f>
        <v>2048</v>
      </c>
      <c r="AO3" s="31">
        <f>General!AO17</f>
        <v>2049</v>
      </c>
      <c r="AP3" s="31">
        <f>General!AP17</f>
        <v>2050</v>
      </c>
      <c r="AQ3" s="31">
        <f>General!AQ17</f>
        <v>2051</v>
      </c>
      <c r="AR3" s="31">
        <f>General!AR17</f>
        <v>2052</v>
      </c>
    </row>
    <row r="4" spans="1:44" x14ac:dyDescent="0.25">
      <c r="F4" t="str">
        <f>General!F18</f>
        <v>Period number</v>
      </c>
      <c r="H4" s="11" t="str">
        <f>General!H8</f>
        <v>#</v>
      </c>
      <c r="N4" s="19">
        <f>General!N18</f>
        <v>1</v>
      </c>
      <c r="O4" s="22">
        <f>General!O18</f>
        <v>2</v>
      </c>
      <c r="P4" s="22">
        <f>General!P18</f>
        <v>3</v>
      </c>
      <c r="Q4" s="22">
        <f>General!Q18</f>
        <v>4</v>
      </c>
      <c r="R4" s="22">
        <f>General!R18</f>
        <v>5</v>
      </c>
      <c r="S4" s="22">
        <f>General!S18</f>
        <v>6</v>
      </c>
      <c r="T4" s="22">
        <f>General!T18</f>
        <v>7</v>
      </c>
      <c r="U4" s="22">
        <f>General!U18</f>
        <v>8</v>
      </c>
      <c r="V4" s="22">
        <f>General!V18</f>
        <v>9</v>
      </c>
      <c r="W4" s="22">
        <f>General!W18</f>
        <v>10</v>
      </c>
      <c r="X4" s="22">
        <f>General!X18</f>
        <v>11</v>
      </c>
      <c r="Y4" s="22">
        <f>General!Y18</f>
        <v>12</v>
      </c>
      <c r="Z4" s="22">
        <f>General!Z18</f>
        <v>13</v>
      </c>
      <c r="AA4" s="22">
        <f>General!AA18</f>
        <v>14</v>
      </c>
      <c r="AB4" s="22">
        <f>General!AB18</f>
        <v>15</v>
      </c>
      <c r="AC4" s="22">
        <f>General!AC18</f>
        <v>16</v>
      </c>
      <c r="AD4" s="22">
        <f>General!AD18</f>
        <v>17</v>
      </c>
      <c r="AE4" s="22">
        <f>General!AE18</f>
        <v>18</v>
      </c>
      <c r="AF4" s="22">
        <f>General!AF18</f>
        <v>19</v>
      </c>
      <c r="AG4" s="22">
        <f>General!AG18</f>
        <v>20</v>
      </c>
      <c r="AH4" s="22">
        <f>General!AH18</f>
        <v>21</v>
      </c>
      <c r="AI4" s="22">
        <f>General!AI18</f>
        <v>22</v>
      </c>
      <c r="AJ4" s="22">
        <f>General!AJ18</f>
        <v>23</v>
      </c>
      <c r="AK4" s="22">
        <f>General!AK18</f>
        <v>24</v>
      </c>
      <c r="AL4" s="22">
        <f>General!AL18</f>
        <v>25</v>
      </c>
      <c r="AM4" s="22">
        <f>General!AM18</f>
        <v>26</v>
      </c>
      <c r="AN4" s="22">
        <f>General!AN18</f>
        <v>27</v>
      </c>
      <c r="AO4" s="22">
        <f>General!AO18</f>
        <v>28</v>
      </c>
      <c r="AP4" s="22">
        <f>General!AP18</f>
        <v>29</v>
      </c>
      <c r="AQ4" s="22">
        <f>General!AQ18</f>
        <v>30</v>
      </c>
      <c r="AR4" s="22">
        <f>General!AR18</f>
        <v>31</v>
      </c>
    </row>
    <row r="5" spans="1:44" x14ac:dyDescent="0.25">
      <c r="F5" t="str">
        <f>General!F19</f>
        <v>Construction year</v>
      </c>
      <c r="H5" s="11" t="str">
        <f>General!H9</f>
        <v>dd/mm/yyyy</v>
      </c>
      <c r="N5" s="19">
        <f>General!N19</f>
        <v>1</v>
      </c>
      <c r="O5" s="22">
        <f>General!O19</f>
        <v>2</v>
      </c>
      <c r="P5" s="22">
        <f>General!P19</f>
        <v>3</v>
      </c>
      <c r="Q5" s="22">
        <f>General!Q19</f>
        <v>4</v>
      </c>
      <c r="R5" s="22">
        <f>General!R19</f>
        <v>5</v>
      </c>
      <c r="S5" s="22">
        <f>General!S19</f>
        <v>6</v>
      </c>
      <c r="T5" s="22">
        <f>General!T19</f>
        <v>7</v>
      </c>
      <c r="U5" s="22">
        <f>General!U19</f>
        <v>8</v>
      </c>
      <c r="V5" s="22">
        <f>General!V19</f>
        <v>9</v>
      </c>
      <c r="W5" s="22">
        <f>General!W19</f>
        <v>10</v>
      </c>
      <c r="X5" s="22" t="str">
        <f>General!X19</f>
        <v>N/A</v>
      </c>
      <c r="Y5" s="22" t="str">
        <f>General!Y19</f>
        <v>N/A</v>
      </c>
      <c r="Z5" s="22" t="str">
        <f>General!Z19</f>
        <v>N/A</v>
      </c>
      <c r="AA5" s="22" t="str">
        <f>General!AA19</f>
        <v>N/A</v>
      </c>
      <c r="AB5" s="22" t="str">
        <f>General!AB19</f>
        <v>N/A</v>
      </c>
      <c r="AC5" s="22" t="str">
        <f>General!AC19</f>
        <v>N/A</v>
      </c>
      <c r="AD5" s="22" t="str">
        <f>General!AD19</f>
        <v>N/A</v>
      </c>
      <c r="AE5" s="22" t="str">
        <f>General!AE19</f>
        <v>N/A</v>
      </c>
      <c r="AF5" s="22" t="str">
        <f>General!AF19</f>
        <v>N/A</v>
      </c>
      <c r="AG5" s="22" t="str">
        <f>General!AG19</f>
        <v>N/A</v>
      </c>
      <c r="AH5" s="22" t="str">
        <f>General!AH19</f>
        <v>N/A</v>
      </c>
      <c r="AI5" s="22" t="str">
        <f>General!AI19</f>
        <v>N/A</v>
      </c>
      <c r="AJ5" s="22" t="str">
        <f>General!AJ19</f>
        <v>N/A</v>
      </c>
      <c r="AK5" s="22" t="str">
        <f>General!AK19</f>
        <v>N/A</v>
      </c>
      <c r="AL5" s="22" t="str">
        <f>General!AL19</f>
        <v>N/A</v>
      </c>
      <c r="AM5" s="22" t="str">
        <f>General!AM19</f>
        <v>N/A</v>
      </c>
      <c r="AN5" s="22" t="str">
        <f>General!AN19</f>
        <v>N/A</v>
      </c>
      <c r="AO5" s="22" t="str">
        <f>General!AO19</f>
        <v>N/A</v>
      </c>
      <c r="AP5" s="22" t="str">
        <f>General!AP19</f>
        <v>N/A</v>
      </c>
      <c r="AQ5" s="22" t="str">
        <f>General!AQ19</f>
        <v>N/A</v>
      </c>
      <c r="AR5" s="22" t="str">
        <f>General!AR19</f>
        <v>N/A</v>
      </c>
    </row>
    <row r="6" spans="1:44" x14ac:dyDescent="0.25">
      <c r="F6" t="str">
        <f>General!F20</f>
        <v>Benefit ramp up</v>
      </c>
      <c r="H6" s="11" t="str">
        <f>General!H10</f>
        <v>dd/mm/yyyy</v>
      </c>
      <c r="N6" s="14">
        <f>General!N20</f>
        <v>0</v>
      </c>
      <c r="O6" s="14">
        <f>General!O20</f>
        <v>0.2</v>
      </c>
      <c r="P6" s="40">
        <f>General!P20</f>
        <v>0.28888888888888892</v>
      </c>
      <c r="Q6" s="40">
        <f>General!Q20</f>
        <v>0.37777777777777782</v>
      </c>
      <c r="R6" s="40">
        <f>General!R20</f>
        <v>0.46666666666666673</v>
      </c>
      <c r="S6" s="40">
        <f>General!S20</f>
        <v>0.55555555555555558</v>
      </c>
      <c r="T6" s="40">
        <f>General!T20</f>
        <v>0.64444444444444449</v>
      </c>
      <c r="U6" s="40">
        <f>General!U20</f>
        <v>0.73333333333333339</v>
      </c>
      <c r="V6" s="40">
        <f>General!V20</f>
        <v>0.8222222222222223</v>
      </c>
      <c r="W6" s="40">
        <f>General!W20</f>
        <v>0.9111111111111112</v>
      </c>
      <c r="X6" s="40">
        <f>General!X20</f>
        <v>1</v>
      </c>
      <c r="Y6" s="40">
        <f>General!Y20</f>
        <v>1</v>
      </c>
      <c r="Z6" s="40">
        <f>General!Z20</f>
        <v>1</v>
      </c>
      <c r="AA6" s="40">
        <f>General!AA20</f>
        <v>1</v>
      </c>
      <c r="AB6" s="40">
        <f>General!AB20</f>
        <v>1</v>
      </c>
      <c r="AC6" s="40">
        <f>General!AC20</f>
        <v>1</v>
      </c>
      <c r="AD6" s="40">
        <f>General!AD20</f>
        <v>1</v>
      </c>
      <c r="AE6" s="40">
        <f>General!AE20</f>
        <v>1</v>
      </c>
      <c r="AF6" s="40">
        <f>General!AF20</f>
        <v>1</v>
      </c>
      <c r="AG6" s="40">
        <f>General!AG20</f>
        <v>1</v>
      </c>
      <c r="AH6" s="40">
        <f>General!AH20</f>
        <v>1</v>
      </c>
      <c r="AI6" s="40">
        <f>General!AI20</f>
        <v>1</v>
      </c>
      <c r="AJ6" s="40">
        <f>General!AJ20</f>
        <v>1</v>
      </c>
      <c r="AK6" s="40">
        <f>General!AK20</f>
        <v>1</v>
      </c>
      <c r="AL6" s="40">
        <f>General!AL20</f>
        <v>1</v>
      </c>
      <c r="AM6" s="40">
        <f>General!AM20</f>
        <v>1</v>
      </c>
      <c r="AN6" s="40">
        <f>General!AN20</f>
        <v>1</v>
      </c>
      <c r="AO6" s="40">
        <f>General!AO20</f>
        <v>1</v>
      </c>
      <c r="AP6" s="40">
        <f>General!AP20</f>
        <v>1</v>
      </c>
      <c r="AQ6" s="40">
        <f>General!AQ20</f>
        <v>1</v>
      </c>
      <c r="AR6" s="40">
        <f>General!AR20</f>
        <v>1</v>
      </c>
    </row>
    <row r="7" spans="1:44" x14ac:dyDescent="0.25">
      <c r="F7" t="str">
        <f>General!F21</f>
        <v>Benefit year</v>
      </c>
      <c r="H7" s="11" t="str">
        <f>General!H11</f>
        <v>years</v>
      </c>
      <c r="N7" s="22">
        <f>General!N21</f>
        <v>0</v>
      </c>
      <c r="O7" s="22">
        <f>General!O21</f>
        <v>1</v>
      </c>
      <c r="P7" s="22">
        <f>General!P21</f>
        <v>2</v>
      </c>
      <c r="Q7" s="22">
        <f>General!Q21</f>
        <v>3</v>
      </c>
      <c r="R7" s="22">
        <f>General!R21</f>
        <v>4</v>
      </c>
      <c r="S7" s="22">
        <f>General!S21</f>
        <v>5</v>
      </c>
      <c r="T7" s="22">
        <f>General!T21</f>
        <v>6</v>
      </c>
      <c r="U7" s="22">
        <f>General!U21</f>
        <v>7</v>
      </c>
      <c r="V7" s="22">
        <f>General!V21</f>
        <v>8</v>
      </c>
      <c r="W7" s="22">
        <f>General!W21</f>
        <v>9</v>
      </c>
      <c r="X7" s="22">
        <f>General!X21</f>
        <v>10</v>
      </c>
      <c r="Y7" s="22">
        <f>General!Y21</f>
        <v>11</v>
      </c>
      <c r="Z7" s="22">
        <f>General!Z21</f>
        <v>12</v>
      </c>
      <c r="AA7" s="22">
        <f>General!AA21</f>
        <v>13</v>
      </c>
      <c r="AB7" s="22">
        <f>General!AB21</f>
        <v>14</v>
      </c>
      <c r="AC7" s="22">
        <f>General!AC21</f>
        <v>15</v>
      </c>
      <c r="AD7" s="22">
        <f>General!AD21</f>
        <v>16</v>
      </c>
      <c r="AE7" s="22">
        <f>General!AE21</f>
        <v>17</v>
      </c>
      <c r="AF7" s="22">
        <f>General!AF21</f>
        <v>18</v>
      </c>
      <c r="AG7" s="22">
        <f>General!AG21</f>
        <v>19</v>
      </c>
      <c r="AH7" s="22">
        <f>General!AH21</f>
        <v>20</v>
      </c>
      <c r="AI7" s="22">
        <f>General!AI21</f>
        <v>21</v>
      </c>
      <c r="AJ7" s="22">
        <f>General!AJ21</f>
        <v>22</v>
      </c>
      <c r="AK7" s="22">
        <f>General!AK21</f>
        <v>23</v>
      </c>
      <c r="AL7" s="22">
        <f>General!AL21</f>
        <v>24</v>
      </c>
      <c r="AM7" s="22">
        <f>General!AM21</f>
        <v>25</v>
      </c>
      <c r="AN7" s="22">
        <f>General!AN21</f>
        <v>26</v>
      </c>
      <c r="AO7" s="22">
        <f>General!AO21</f>
        <v>27</v>
      </c>
      <c r="AP7" s="22">
        <f>General!AP21</f>
        <v>28</v>
      </c>
      <c r="AQ7" s="22">
        <f>General!AQ21</f>
        <v>29</v>
      </c>
      <c r="AR7" s="22">
        <f>General!AR21</f>
        <v>30</v>
      </c>
    </row>
    <row r="8" spans="1:44" x14ac:dyDescent="0.25">
      <c r="F8" t="str">
        <f>General!F23</f>
        <v>Discount factor (4%)</v>
      </c>
      <c r="H8" s="11" t="str">
        <f>General!H23</f>
        <v>#</v>
      </c>
      <c r="J8">
        <f>General!J23</f>
        <v>0</v>
      </c>
      <c r="K8">
        <f>General!K23</f>
        <v>0</v>
      </c>
      <c r="L8">
        <f>General!L23</f>
        <v>0</v>
      </c>
      <c r="M8">
        <f>General!M23</f>
        <v>0</v>
      </c>
      <c r="N8" s="27">
        <f>General!N23</f>
        <v>1</v>
      </c>
      <c r="O8" s="27">
        <f>General!O23</f>
        <v>0.96153846153846145</v>
      </c>
      <c r="P8" s="27">
        <f>General!P23</f>
        <v>0.92455621301775137</v>
      </c>
      <c r="Q8" s="27">
        <f>General!Q23</f>
        <v>0.88899635867091487</v>
      </c>
      <c r="R8" s="27">
        <f>General!R23</f>
        <v>0.85480419102972571</v>
      </c>
      <c r="S8" s="27">
        <f>General!S23</f>
        <v>0.82192710675935154</v>
      </c>
      <c r="T8" s="27">
        <f>General!T23</f>
        <v>0.79031452573014571</v>
      </c>
      <c r="U8" s="27">
        <f>General!U23</f>
        <v>0.75991781320206331</v>
      </c>
      <c r="V8" s="27">
        <f>General!V23</f>
        <v>0.73069020500198378</v>
      </c>
      <c r="W8" s="27">
        <f>General!W23</f>
        <v>0.70258673557883045</v>
      </c>
      <c r="X8" s="27">
        <f>General!X23</f>
        <v>0.67556416882579851</v>
      </c>
      <c r="Y8" s="27">
        <f>General!Y23</f>
        <v>0.6495809315632679</v>
      </c>
      <c r="Z8" s="27">
        <f>General!Z23</f>
        <v>0.62459704958006512</v>
      </c>
      <c r="AA8" s="27">
        <f>General!AA23</f>
        <v>0.600574086134678</v>
      </c>
      <c r="AB8" s="27">
        <f>General!AB23</f>
        <v>0.57747508282180582</v>
      </c>
      <c r="AC8" s="27">
        <f>General!AC23</f>
        <v>0.55526450271327477</v>
      </c>
      <c r="AD8" s="27">
        <f>General!AD23</f>
        <v>0.53390817568584104</v>
      </c>
      <c r="AE8" s="27">
        <f>General!AE23</f>
        <v>0.51337324585177024</v>
      </c>
      <c r="AF8" s="27">
        <f>General!AF23</f>
        <v>0.49362812101131748</v>
      </c>
      <c r="AG8" s="27">
        <f>General!AG23</f>
        <v>0.47464242404934376</v>
      </c>
      <c r="AH8" s="27">
        <f>General!AH23</f>
        <v>0.45638694620129205</v>
      </c>
      <c r="AI8" s="27">
        <f>General!AI23</f>
        <v>0.43883360211662686</v>
      </c>
      <c r="AJ8" s="27">
        <f>General!AJ23</f>
        <v>0.42195538665060278</v>
      </c>
      <c r="AK8" s="27">
        <f>General!AK23</f>
        <v>0.40572633331788732</v>
      </c>
      <c r="AL8" s="27">
        <f>General!AL23</f>
        <v>0.39012147434412242</v>
      </c>
      <c r="AM8" s="27">
        <f>General!AM23</f>
        <v>0.37511680225396377</v>
      </c>
      <c r="AN8" s="27">
        <f>General!AN23</f>
        <v>0.36068923293650368</v>
      </c>
      <c r="AO8" s="27">
        <f>General!AO23</f>
        <v>0.3468165701312535</v>
      </c>
      <c r="AP8" s="27">
        <f>General!AP23</f>
        <v>0.3334774712800514</v>
      </c>
      <c r="AQ8" s="27">
        <f>General!AQ23</f>
        <v>0.32065141469235708</v>
      </c>
      <c r="AR8" s="27">
        <f>General!AR23</f>
        <v>0.30831866797342034</v>
      </c>
    </row>
    <row r="10" spans="1:44" s="13" customFormat="1" x14ac:dyDescent="0.25">
      <c r="A10" s="12"/>
      <c r="B10" s="12"/>
      <c r="C10" s="12"/>
      <c r="D10" s="13" t="s">
        <v>474</v>
      </c>
    </row>
    <row r="11" spans="1:44" ht="11.25" customHeight="1" outlineLevel="1" x14ac:dyDescent="0.25"/>
    <row r="12" spans="1:44" ht="11.25" customHeight="1" outlineLevel="1" thickBot="1" x14ac:dyDescent="0.3">
      <c r="E12" s="1" t="s">
        <v>43</v>
      </c>
      <c r="F12" s="1"/>
    </row>
    <row r="13" spans="1:44" ht="11.25" customHeight="1" outlineLevel="1" x14ac:dyDescent="0.25"/>
    <row r="14" spans="1:44" ht="11.25" customHeight="1" outlineLevel="1" x14ac:dyDescent="0.25">
      <c r="F14" s="24" t="s">
        <v>473</v>
      </c>
      <c r="H14" s="23" t="s">
        <v>45</v>
      </c>
    </row>
    <row r="15" spans="1:44" ht="11.25" customHeight="1" outlineLevel="1" x14ac:dyDescent="0.35">
      <c r="A15" s="3"/>
      <c r="B15" s="3"/>
      <c r="C15" s="3"/>
      <c r="D15" s="3"/>
      <c r="E15" s="3"/>
      <c r="F15" t="s">
        <v>68</v>
      </c>
      <c r="H15" s="22">
        <f>SUM(N15:AT15)</f>
        <v>189795000</v>
      </c>
      <c r="N15" s="22">
        <f>CAPEX!N19</f>
        <v>18979500</v>
      </c>
      <c r="O15" s="22">
        <f>CAPEX!O19</f>
        <v>18979500</v>
      </c>
      <c r="P15" s="22">
        <f>CAPEX!P19</f>
        <v>18979500</v>
      </c>
      <c r="Q15" s="22">
        <f>CAPEX!Q19</f>
        <v>18979500</v>
      </c>
      <c r="R15" s="22">
        <f>CAPEX!R19</f>
        <v>18979500</v>
      </c>
      <c r="S15" s="22">
        <f>CAPEX!S19</f>
        <v>18979500</v>
      </c>
      <c r="T15" s="22">
        <f>CAPEX!T19</f>
        <v>18979500</v>
      </c>
      <c r="U15" s="22">
        <f>CAPEX!U19</f>
        <v>18979500</v>
      </c>
      <c r="V15" s="22">
        <f>CAPEX!V19</f>
        <v>18979500</v>
      </c>
      <c r="W15" s="22">
        <f>CAPEX!W19</f>
        <v>18979500</v>
      </c>
      <c r="X15" s="22">
        <f>CAPEX!X19</f>
        <v>0</v>
      </c>
      <c r="Y15" s="22">
        <f>CAPEX!Y19</f>
        <v>0</v>
      </c>
      <c r="Z15" s="22">
        <f>CAPEX!Z19</f>
        <v>0</v>
      </c>
      <c r="AA15" s="22">
        <f>CAPEX!AA19</f>
        <v>0</v>
      </c>
      <c r="AB15" s="22">
        <f>CAPEX!AB19</f>
        <v>0</v>
      </c>
      <c r="AC15" s="22">
        <f>CAPEX!AC19</f>
        <v>0</v>
      </c>
      <c r="AD15" s="22">
        <f>CAPEX!AD19</f>
        <v>0</v>
      </c>
      <c r="AE15" s="22">
        <f>CAPEX!AE19</f>
        <v>0</v>
      </c>
      <c r="AF15" s="22">
        <f>CAPEX!AF19</f>
        <v>0</v>
      </c>
      <c r="AG15" s="22">
        <f>CAPEX!AG19</f>
        <v>0</v>
      </c>
      <c r="AH15" s="22">
        <f>CAPEX!AH19</f>
        <v>0</v>
      </c>
      <c r="AI15" s="22">
        <f>CAPEX!AI19</f>
        <v>0</v>
      </c>
      <c r="AJ15" s="22">
        <f>CAPEX!AJ19</f>
        <v>0</v>
      </c>
      <c r="AK15" s="22">
        <f>CAPEX!AK19</f>
        <v>0</v>
      </c>
      <c r="AL15" s="22">
        <f>CAPEX!AL19</f>
        <v>0</v>
      </c>
      <c r="AM15" s="22">
        <f>CAPEX!AM19</f>
        <v>0</v>
      </c>
      <c r="AN15" s="22">
        <f>CAPEX!AN19</f>
        <v>0</v>
      </c>
      <c r="AO15" s="22">
        <f>CAPEX!AO19</f>
        <v>0</v>
      </c>
      <c r="AP15" s="22">
        <f>CAPEX!AP19</f>
        <v>0</v>
      </c>
      <c r="AQ15" s="22">
        <f>CAPEX!AQ19</f>
        <v>0</v>
      </c>
      <c r="AR15" s="22">
        <f>CAPEX!AR19</f>
        <v>0</v>
      </c>
    </row>
    <row r="16" spans="1:44" ht="11.25" customHeight="1" outlineLevel="1" x14ac:dyDescent="0.35">
      <c r="A16" s="3"/>
      <c r="B16" s="3"/>
      <c r="C16" s="3"/>
      <c r="D16" s="3"/>
      <c r="E16" s="3"/>
      <c r="F16" t="s">
        <v>69</v>
      </c>
      <c r="H16" s="22">
        <f>SUM(N16:AT16)</f>
        <v>96795450</v>
      </c>
      <c r="N16" s="22">
        <f>OPEX!N19</f>
        <v>0</v>
      </c>
      <c r="O16" s="22">
        <f>OPEX!O19</f>
        <v>379590</v>
      </c>
      <c r="P16" s="22">
        <f>OPEX!P19</f>
        <v>759180</v>
      </c>
      <c r="Q16" s="22">
        <f>OPEX!Q19</f>
        <v>1138770</v>
      </c>
      <c r="R16" s="22">
        <f>OPEX!R19</f>
        <v>1518360</v>
      </c>
      <c r="S16" s="22">
        <f>OPEX!S19</f>
        <v>1897950</v>
      </c>
      <c r="T16" s="22">
        <f>OPEX!T19</f>
        <v>2277540</v>
      </c>
      <c r="U16" s="22">
        <f>OPEX!U19</f>
        <v>2657130</v>
      </c>
      <c r="V16" s="22">
        <f>OPEX!V19</f>
        <v>3036720</v>
      </c>
      <c r="W16" s="22">
        <f>OPEX!W19</f>
        <v>3416310</v>
      </c>
      <c r="X16" s="22">
        <f>OPEX!X19</f>
        <v>3795900</v>
      </c>
      <c r="Y16" s="22">
        <f>OPEX!Y19</f>
        <v>3795900</v>
      </c>
      <c r="Z16" s="22">
        <f>OPEX!Z19</f>
        <v>3795900</v>
      </c>
      <c r="AA16" s="22">
        <f>OPEX!AA19</f>
        <v>3795900</v>
      </c>
      <c r="AB16" s="22">
        <f>OPEX!AB19</f>
        <v>3795900</v>
      </c>
      <c r="AC16" s="22">
        <f>OPEX!AC19</f>
        <v>3795900</v>
      </c>
      <c r="AD16" s="22">
        <f>OPEX!AD19</f>
        <v>3795900</v>
      </c>
      <c r="AE16" s="22">
        <f>OPEX!AE19</f>
        <v>3795900</v>
      </c>
      <c r="AF16" s="22">
        <f>OPEX!AF19</f>
        <v>3795900</v>
      </c>
      <c r="AG16" s="22">
        <f>OPEX!AG19</f>
        <v>3795900</v>
      </c>
      <c r="AH16" s="22">
        <f>OPEX!AH19</f>
        <v>3795900</v>
      </c>
      <c r="AI16" s="22">
        <f>OPEX!AI19</f>
        <v>3795900</v>
      </c>
      <c r="AJ16" s="22">
        <f>OPEX!AJ19</f>
        <v>3795900</v>
      </c>
      <c r="AK16" s="22">
        <f>OPEX!AK19</f>
        <v>3795900</v>
      </c>
      <c r="AL16" s="22">
        <f>OPEX!AL19</f>
        <v>3795900</v>
      </c>
      <c r="AM16" s="22">
        <f>OPEX!AM19</f>
        <v>3795900</v>
      </c>
      <c r="AN16" s="22">
        <f>OPEX!AN19</f>
        <v>3795900</v>
      </c>
      <c r="AO16" s="22">
        <f>OPEX!AO19</f>
        <v>3795900</v>
      </c>
      <c r="AP16" s="22">
        <f>OPEX!AP19</f>
        <v>3795900</v>
      </c>
      <c r="AQ16" s="22">
        <f>OPEX!AQ19</f>
        <v>3795900</v>
      </c>
      <c r="AR16" s="22">
        <f>OPEX!AR19</f>
        <v>3795900</v>
      </c>
    </row>
    <row r="17" spans="1:46" s="24" customFormat="1" ht="11.25" customHeight="1" outlineLevel="1" x14ac:dyDescent="0.35">
      <c r="A17" s="33"/>
      <c r="B17" s="33"/>
      <c r="C17" s="33"/>
      <c r="D17" s="33"/>
      <c r="E17" s="33"/>
      <c r="F17" s="24" t="s">
        <v>46</v>
      </c>
      <c r="H17" s="34">
        <f>SUM(N17:AT17)</f>
        <v>286590450</v>
      </c>
      <c r="N17" s="34">
        <f>SUM(N15:N16)</f>
        <v>18979500</v>
      </c>
      <c r="O17" s="34">
        <f t="shared" ref="O17:AR17" si="0">SUM(O15:O16)</f>
        <v>19359090</v>
      </c>
      <c r="P17" s="34">
        <f t="shared" si="0"/>
        <v>19738680</v>
      </c>
      <c r="Q17" s="34">
        <f t="shared" si="0"/>
        <v>20118270</v>
      </c>
      <c r="R17" s="34">
        <f t="shared" si="0"/>
        <v>20497860</v>
      </c>
      <c r="S17" s="34">
        <f t="shared" si="0"/>
        <v>20877450</v>
      </c>
      <c r="T17" s="34">
        <f t="shared" si="0"/>
        <v>21257040</v>
      </c>
      <c r="U17" s="34">
        <f t="shared" si="0"/>
        <v>21636630</v>
      </c>
      <c r="V17" s="34">
        <f t="shared" si="0"/>
        <v>22016220</v>
      </c>
      <c r="W17" s="34">
        <f t="shared" si="0"/>
        <v>22395810</v>
      </c>
      <c r="X17" s="34">
        <f t="shared" si="0"/>
        <v>3795900</v>
      </c>
      <c r="Y17" s="34">
        <f t="shared" si="0"/>
        <v>3795900</v>
      </c>
      <c r="Z17" s="34">
        <f t="shared" si="0"/>
        <v>3795900</v>
      </c>
      <c r="AA17" s="34">
        <f t="shared" si="0"/>
        <v>3795900</v>
      </c>
      <c r="AB17" s="34">
        <f t="shared" si="0"/>
        <v>3795900</v>
      </c>
      <c r="AC17" s="34">
        <f t="shared" si="0"/>
        <v>3795900</v>
      </c>
      <c r="AD17" s="34">
        <f t="shared" si="0"/>
        <v>3795900</v>
      </c>
      <c r="AE17" s="34">
        <f t="shared" si="0"/>
        <v>3795900</v>
      </c>
      <c r="AF17" s="34">
        <f t="shared" si="0"/>
        <v>3795900</v>
      </c>
      <c r="AG17" s="34">
        <f t="shared" si="0"/>
        <v>3795900</v>
      </c>
      <c r="AH17" s="34">
        <f t="shared" si="0"/>
        <v>3795900</v>
      </c>
      <c r="AI17" s="34">
        <f t="shared" si="0"/>
        <v>3795900</v>
      </c>
      <c r="AJ17" s="34">
        <f t="shared" si="0"/>
        <v>3795900</v>
      </c>
      <c r="AK17" s="34">
        <f t="shared" si="0"/>
        <v>3795900</v>
      </c>
      <c r="AL17" s="34">
        <f t="shared" si="0"/>
        <v>3795900</v>
      </c>
      <c r="AM17" s="34">
        <f t="shared" si="0"/>
        <v>3795900</v>
      </c>
      <c r="AN17" s="34">
        <f t="shared" si="0"/>
        <v>3795900</v>
      </c>
      <c r="AO17" s="34">
        <f t="shared" si="0"/>
        <v>3795900</v>
      </c>
      <c r="AP17" s="34">
        <f t="shared" si="0"/>
        <v>3795900</v>
      </c>
      <c r="AQ17" s="34">
        <f t="shared" si="0"/>
        <v>3795900</v>
      </c>
      <c r="AR17" s="34">
        <f t="shared" si="0"/>
        <v>3795900</v>
      </c>
      <c r="AS17"/>
      <c r="AT17"/>
    </row>
    <row r="18" spans="1:46" ht="11.25" customHeight="1" outlineLevel="1" x14ac:dyDescent="0.35">
      <c r="A18" s="3"/>
      <c r="B18" s="3"/>
      <c r="C18" s="3"/>
      <c r="D18" s="3"/>
      <c r="E18" s="3"/>
      <c r="N18" s="4"/>
      <c r="O18" s="4"/>
    </row>
    <row r="19" spans="1:46" ht="11.25" customHeight="1" outlineLevel="1" x14ac:dyDescent="0.35">
      <c r="A19" s="3"/>
      <c r="B19" s="3"/>
      <c r="C19" s="3"/>
      <c r="D19" s="3"/>
      <c r="E19" s="3"/>
      <c r="F19" s="24" t="s">
        <v>0</v>
      </c>
      <c r="H19" s="23" t="s">
        <v>45</v>
      </c>
    </row>
    <row r="20" spans="1:46" ht="11.25" customHeight="1" outlineLevel="1" x14ac:dyDescent="0.35">
      <c r="A20" s="3"/>
      <c r="B20" s="3"/>
      <c r="C20" s="3"/>
      <c r="D20" s="3"/>
      <c r="E20" s="3"/>
      <c r="F20" t="s">
        <v>470</v>
      </c>
      <c r="H20" s="22">
        <f>SUM(N20:AT20)</f>
        <v>541705805.97889411</v>
      </c>
      <c r="N20" s="22">
        <f>Benefits!N34*N$6</f>
        <v>0</v>
      </c>
      <c r="O20" s="22">
        <f>Benefits!O34*O$6</f>
        <v>3100514.1130233561</v>
      </c>
      <c r="P20" s="22">
        <f>Benefits!P34*P$6</f>
        <v>4566897.7395945806</v>
      </c>
      <c r="Q20" s="22">
        <f>Benefits!Q34*Q$6</f>
        <v>6087714.8600258855</v>
      </c>
      <c r="R20" s="22">
        <f>Benefits!R34*R$6</f>
        <v>7662996.4230213994</v>
      </c>
      <c r="S20" s="22">
        <f>Benefits!S34*S$6</f>
        <v>9292771.6198977996</v>
      </c>
      <c r="T20" s="22">
        <f>Benefits!T34*T$6</f>
        <v>10977068.007577365</v>
      </c>
      <c r="U20" s="22">
        <f>Benefits!U34*U$6</f>
        <v>12715911.621394299</v>
      </c>
      <c r="V20" s="22">
        <f>Benefits!V34*V$6</f>
        <v>14509327.078685086</v>
      </c>
      <c r="W20" s="22">
        <f>Benefits!W34*W$6</f>
        <v>16357337.674029633</v>
      </c>
      <c r="X20" s="22">
        <f>Benefits!X34*X$6</f>
        <v>18300610.304722264</v>
      </c>
      <c r="Y20" s="22">
        <f>Benefits!Y34*Y$6</f>
        <v>18648286.270124789</v>
      </c>
      <c r="Z20" s="22">
        <f>Benefits!Z34*Z$6</f>
        <v>18996194.101183493</v>
      </c>
      <c r="AA20" s="22">
        <f>Benefits!AA34*AA$6</f>
        <v>19344324.978198022</v>
      </c>
      <c r="AB20" s="22">
        <f>Benefits!AB34*AB$6</f>
        <v>19692670.523178816</v>
      </c>
      <c r="AC20" s="22">
        <f>Benefits!AC34*AC$6</f>
        <v>20041222.772536706</v>
      </c>
      <c r="AD20" s="22">
        <f>Benefits!AD34*AD$6</f>
        <v>20389974.15177406</v>
      </c>
      <c r="AE20" s="22">
        <f>Benefits!AE34*AE$6</f>
        <v>20738917.452008273</v>
      </c>
      <c r="AF20" s="22">
        <f>Benefits!AF34*AF$6</f>
        <v>21088045.808174964</v>
      </c>
      <c r="AG20" s="22">
        <f>Benefits!AG34*AG$6</f>
        <v>21437352.678771965</v>
      </c>
      <c r="AH20" s="22">
        <f>Benefits!AH34*AH$6</f>
        <v>21774881.896345593</v>
      </c>
      <c r="AI20" s="22">
        <f>Benefits!AI34*AI$6</f>
        <v>22112449.269779846</v>
      </c>
      <c r="AJ20" s="22">
        <f>Benefits!AJ34*AJ$6</f>
        <v>22450053.30592192</v>
      </c>
      <c r="AK20" s="22">
        <f>Benefits!AK34*AK$6</f>
        <v>22787692.588524494</v>
      </c>
      <c r="AL20" s="22">
        <f>Benefits!AL34*AL$6</f>
        <v>23125365.773357421</v>
      </c>
      <c r="AM20" s="22">
        <f>Benefits!AM34*AM$6</f>
        <v>23463071.583687495</v>
      </c>
      <c r="AN20" s="22">
        <f>Benefits!AN34*AN$6</f>
        <v>23800808.806094546</v>
      </c>
      <c r="AO20" s="22">
        <f>Benefits!AO34*AO$6</f>
        <v>24138576.286594875</v>
      </c>
      <c r="AP20" s="22">
        <f>Benefits!AP34*AP$6</f>
        <v>24476372.927046016</v>
      </c>
      <c r="AQ20" s="22">
        <f>Benefits!AQ34*AQ$6</f>
        <v>24814197.681809597</v>
      </c>
      <c r="AR20" s="22">
        <f>Benefits!AR34*AR$6</f>
        <v>24814197.681809597</v>
      </c>
    </row>
    <row r="21" spans="1:46" ht="11.25" customHeight="1" outlineLevel="1" x14ac:dyDescent="0.35">
      <c r="A21" s="3"/>
      <c r="B21" s="3"/>
      <c r="C21" s="3"/>
      <c r="D21" s="3"/>
      <c r="E21" s="3"/>
      <c r="F21" t="s">
        <v>471</v>
      </c>
      <c r="H21" s="22">
        <f>SUM(N21:AT21)</f>
        <v>34917711.515387654</v>
      </c>
      <c r="N21" s="22">
        <f>Benefits!N40*N$6</f>
        <v>0</v>
      </c>
      <c r="O21" s="22">
        <f>Benefits!O40*O$6</f>
        <v>198996.43863032275</v>
      </c>
      <c r="P21" s="22">
        <f>Benefits!P40*P$6</f>
        <v>293223.16695433663</v>
      </c>
      <c r="Q21" s="22">
        <f>Benefits!Q40*Q$6</f>
        <v>391012.44560670352</v>
      </c>
      <c r="R21" s="22">
        <f>Benefits!R40*R$6</f>
        <v>492366.3912561785</v>
      </c>
      <c r="S21" s="22">
        <f>Benefits!S40*S$6</f>
        <v>597286.99864803324</v>
      </c>
      <c r="T21" s="22">
        <f>Benefits!T40*T$6</f>
        <v>705776.14925816481</v>
      </c>
      <c r="U21" s="22">
        <f>Benefits!U40*U$6</f>
        <v>817835.61922040442</v>
      </c>
      <c r="V21" s="22">
        <f>Benefits!V40*V$6</f>
        <v>933467.08659725043</v>
      </c>
      <c r="W21" s="22">
        <f>Benefits!W40*W$6</f>
        <v>1052672.1380566075</v>
      </c>
      <c r="X21" s="22">
        <f>Benefits!X40*X$6</f>
        <v>1175452.2750103897</v>
      </c>
      <c r="Y21" s="22">
        <f>Benefits!Y40*Y$6</f>
        <v>1198199.9519635709</v>
      </c>
      <c r="Z21" s="22">
        <f>Benefits!Z40*Z$6</f>
        <v>1220963.4182145684</v>
      </c>
      <c r="AA21" s="22">
        <f>Benefits!AA40*AA$6</f>
        <v>1243742.0654575359</v>
      </c>
      <c r="AB21" s="22">
        <f>Benefits!AB40*AB$6</f>
        <v>1266535.316238259</v>
      </c>
      <c r="AC21" s="22">
        <f>Benefits!AC40*AC$6</f>
        <v>1289342.6220227559</v>
      </c>
      <c r="AD21" s="22">
        <f>Benefits!AD40*AD$6</f>
        <v>1312163.4614091711</v>
      </c>
      <c r="AE21" s="22">
        <f>Benefits!AE40*AE$6</f>
        <v>1334997.3384707239</v>
      </c>
      <c r="AF21" s="22">
        <f>Benefits!AF40*AF$6</f>
        <v>1357843.7812186349</v>
      </c>
      <c r="AG21" s="22">
        <f>Benefits!AG40*AG$6</f>
        <v>1380702.3401750042</v>
      </c>
      <c r="AH21" s="22">
        <f>Benefits!AH40*AH$6</f>
        <v>1403572.5870466004</v>
      </c>
      <c r="AI21" s="22">
        <f>Benefits!AI40*AI$6</f>
        <v>1425671.7130073695</v>
      </c>
      <c r="AJ21" s="22">
        <f>Benefits!AJ40*AJ$6</f>
        <v>1447773.337155337</v>
      </c>
      <c r="AK21" s="22">
        <f>Benefits!AK40*AK$6</f>
        <v>1469877.3617289751</v>
      </c>
      <c r="AL21" s="22">
        <f>Benefits!AL40*AL$6</f>
        <v>1491983.6940020048</v>
      </c>
      <c r="AM21" s="22">
        <f>Benefits!AM40*AM$6</f>
        <v>1514092.2459633448</v>
      </c>
      <c r="AN21" s="22">
        <f>Benefits!AN40*AN$6</f>
        <v>1536202.9340211577</v>
      </c>
      <c r="AO21" s="22">
        <f>Benefits!AO40*AO$6</f>
        <v>1558315.6787289134</v>
      </c>
      <c r="AP21" s="22">
        <f>Benefits!AP40*AP$6</f>
        <v>1580430.4045315776</v>
      </c>
      <c r="AQ21" s="22">
        <f>Benefits!AQ40*AQ$6</f>
        <v>1602547.0395302246</v>
      </c>
      <c r="AR21" s="22">
        <f>Benefits!AR40*AR$6</f>
        <v>1624665.5152635379</v>
      </c>
    </row>
    <row r="22" spans="1:46" ht="11.25" customHeight="1" outlineLevel="1" x14ac:dyDescent="0.35">
      <c r="A22" s="3"/>
      <c r="B22" s="3"/>
      <c r="C22" s="3"/>
      <c r="D22" s="3"/>
      <c r="E22" s="3"/>
      <c r="F22" t="s">
        <v>472</v>
      </c>
      <c r="H22" s="22">
        <f>SUM(N22:AT22)</f>
        <v>296541830.1650421</v>
      </c>
      <c r="N22" s="22">
        <f>Benefits!N46*'4%'!N$6</f>
        <v>0</v>
      </c>
      <c r="O22" s="22">
        <f>Benefits!O46*'4%'!O$6</f>
        <v>1697290.5207597339</v>
      </c>
      <c r="P22" s="22">
        <f>Benefits!P46*'4%'!P$6</f>
        <v>2500021.5964617813</v>
      </c>
      <c r="Q22" s="22">
        <f>Benefits!Q46*'4%'!Q$6</f>
        <v>3332550.7797591072</v>
      </c>
      <c r="R22" s="22">
        <f>Benefits!R46*'4%'!R$6</f>
        <v>4194895.0126620466</v>
      </c>
      <c r="S22" s="22">
        <f>Benefits!S46*'4%'!S$6</f>
        <v>5087070.2751478786</v>
      </c>
      <c r="T22" s="22">
        <f>Benefits!T46*'4%'!T$6</f>
        <v>6009091.6524899686</v>
      </c>
      <c r="U22" s="22">
        <f>Benefits!U46*'4%'!U$6</f>
        <v>6960973.3970104624</v>
      </c>
      <c r="V22" s="22">
        <f>Benefits!V46*'4%'!V$6</f>
        <v>7942728.9847879466</v>
      </c>
      <c r="W22" s="22">
        <f>Benefits!W46*'4%'!W$6</f>
        <v>8954371.1677945908</v>
      </c>
      <c r="X22" s="22">
        <f>Benefits!X46*'4%'!X$6</f>
        <v>10018161.911875483</v>
      </c>
      <c r="Y22" s="22">
        <f>Benefits!Y46*'4%'!Y$6</f>
        <v>10208487.483333141</v>
      </c>
      <c r="Z22" s="22">
        <f>Benefits!Z46*'4%'!Z$6</f>
        <v>10398939.983218145</v>
      </c>
      <c r="AA22" s="22">
        <f>Benefits!AA46*'4%'!AA$6</f>
        <v>10589514.583429962</v>
      </c>
      <c r="AB22" s="22">
        <f>Benefits!AB46*'4%'!AB$6</f>
        <v>10780206.697670411</v>
      </c>
      <c r="AC22" s="22">
        <f>Benefits!AC46*'4%'!AC$6</f>
        <v>10971011.966493323</v>
      </c>
      <c r="AD22" s="22">
        <f>Benefits!AD46*'4%'!AD$6</f>
        <v>11161926.243449878</v>
      </c>
      <c r="AE22" s="22">
        <f>Benefits!AE46*'4%'!AE$6</f>
        <v>11352945.582237087</v>
      </c>
      <c r="AF22" s="22">
        <f>Benefits!AF46*'4%'!AF$6</f>
        <v>11544066.224765718</v>
      </c>
      <c r="AG22" s="22">
        <f>Benefits!AG46*'4%'!AG$6</f>
        <v>11735284.59007173</v>
      </c>
      <c r="AH22" s="22">
        <f>Benefits!AH46*'4%'!AH$6</f>
        <v>11920055.605646476</v>
      </c>
      <c r="AI22" s="22">
        <f>Benefits!AI46*'4%'!AI$6</f>
        <v>12104847.508589648</v>
      </c>
      <c r="AJ22" s="22">
        <f>Benefits!AJ46*'4%'!AJ$6</f>
        <v>12289659.481516108</v>
      </c>
      <c r="AK22" s="22">
        <f>Benefits!AK46*'4%'!AK$6</f>
        <v>12474490.749140508</v>
      </c>
      <c r="AL22" s="22">
        <f>Benefits!AL46*'4%'!AL$6</f>
        <v>12659340.575601324</v>
      </c>
      <c r="AM22" s="22">
        <f>Benefits!AM46*'4%'!AM$6</f>
        <v>12844208.261986345</v>
      </c>
      <c r="AN22" s="22">
        <f>Benefits!AN46*'4%'!AN$6</f>
        <v>13029093.144042321</v>
      </c>
      <c r="AO22" s="22">
        <f>Benefits!AO46*'4%'!AO$6</f>
        <v>13213994.590052847</v>
      </c>
      <c r="AP22" s="22">
        <f>Benefits!AP46*'4%'!AP$6</f>
        <v>13398911.998870298</v>
      </c>
      <c r="AQ22" s="22">
        <f>Benefits!AQ46*'4%'!AQ$6</f>
        <v>13583844.798088901</v>
      </c>
      <c r="AR22" s="22">
        <f>Benefits!AR46*'4%'!AR$6</f>
        <v>13583844.798088901</v>
      </c>
    </row>
    <row r="23" spans="1:46" s="24" customFormat="1" ht="11.25" customHeight="1" outlineLevel="1" x14ac:dyDescent="0.35">
      <c r="A23" s="33"/>
      <c r="B23" s="33"/>
      <c r="C23" s="33"/>
      <c r="D23" s="33"/>
      <c r="E23" s="33"/>
      <c r="F23" s="24" t="s">
        <v>67</v>
      </c>
      <c r="H23" s="34">
        <f t="shared" ref="H23" si="1">SUM(N23:AT23)</f>
        <v>873165347.65932393</v>
      </c>
      <c r="N23" s="34">
        <f t="shared" ref="N23:AR23" si="2">SUM(N20:N22)</f>
        <v>0</v>
      </c>
      <c r="O23" s="34">
        <f t="shared" si="2"/>
        <v>4996801.0724134129</v>
      </c>
      <c r="P23" s="34">
        <f t="shared" si="2"/>
        <v>7360142.5030106986</v>
      </c>
      <c r="Q23" s="34">
        <f t="shared" si="2"/>
        <v>9811278.0853916965</v>
      </c>
      <c r="R23" s="34">
        <f t="shared" si="2"/>
        <v>12350257.826939624</v>
      </c>
      <c r="S23" s="34">
        <f t="shared" si="2"/>
        <v>14977128.893693712</v>
      </c>
      <c r="T23" s="34">
        <f t="shared" si="2"/>
        <v>17691935.809325498</v>
      </c>
      <c r="U23" s="34">
        <f t="shared" si="2"/>
        <v>20494720.637625165</v>
      </c>
      <c r="V23" s="34">
        <f t="shared" si="2"/>
        <v>23385523.150070284</v>
      </c>
      <c r="W23" s="34">
        <f t="shared" si="2"/>
        <v>26364380.979880832</v>
      </c>
      <c r="X23" s="34">
        <f t="shared" si="2"/>
        <v>29494224.491608135</v>
      </c>
      <c r="Y23" s="34">
        <f t="shared" si="2"/>
        <v>30054973.7054215</v>
      </c>
      <c r="Z23" s="34">
        <f t="shared" si="2"/>
        <v>30616097.502616204</v>
      </c>
      <c r="AA23" s="34">
        <f t="shared" si="2"/>
        <v>31177581.627085522</v>
      </c>
      <c r="AB23" s="34">
        <f t="shared" si="2"/>
        <v>31739412.537087485</v>
      </c>
      <c r="AC23" s="34">
        <f t="shared" si="2"/>
        <v>32301577.361052785</v>
      </c>
      <c r="AD23" s="34">
        <f t="shared" si="2"/>
        <v>32864063.856633108</v>
      </c>
      <c r="AE23" s="34">
        <f t="shared" si="2"/>
        <v>33426860.372716084</v>
      </c>
      <c r="AF23" s="34">
        <f t="shared" si="2"/>
        <v>33989955.814159319</v>
      </c>
      <c r="AG23" s="34">
        <f t="shared" si="2"/>
        <v>34553339.609018698</v>
      </c>
      <c r="AH23" s="34">
        <f t="shared" si="2"/>
        <v>35098510.08903867</v>
      </c>
      <c r="AI23" s="34">
        <f t="shared" si="2"/>
        <v>35642968.491376862</v>
      </c>
      <c r="AJ23" s="34">
        <f t="shared" si="2"/>
        <v>36187486.124593362</v>
      </c>
      <c r="AK23" s="34">
        <f t="shared" si="2"/>
        <v>36732060.699393973</v>
      </c>
      <c r="AL23" s="34">
        <f t="shared" si="2"/>
        <v>37276690.042960748</v>
      </c>
      <c r="AM23" s="34">
        <f t="shared" si="2"/>
        <v>37821372.091637187</v>
      </c>
      <c r="AN23" s="34">
        <f t="shared" si="2"/>
        <v>38366104.884158023</v>
      </c>
      <c r="AO23" s="34">
        <f t="shared" si="2"/>
        <v>38910886.555376634</v>
      </c>
      <c r="AP23" s="34">
        <f t="shared" si="2"/>
        <v>39455715.33044789</v>
      </c>
      <c r="AQ23" s="34">
        <f t="shared" si="2"/>
        <v>40000589.519428723</v>
      </c>
      <c r="AR23" s="34">
        <f t="shared" si="2"/>
        <v>40022707.99516204</v>
      </c>
      <c r="AS23"/>
      <c r="AT23"/>
    </row>
    <row r="24" spans="1:46" ht="11.25" customHeight="1" outlineLevel="1" x14ac:dyDescent="0.25"/>
    <row r="25" spans="1:46" ht="11.25" customHeight="1" outlineLevel="1" thickBot="1" x14ac:dyDescent="0.3">
      <c r="E25" s="1" t="s">
        <v>44</v>
      </c>
      <c r="F25" s="1"/>
    </row>
    <row r="26" spans="1:46" ht="11.25" customHeight="1" outlineLevel="1" x14ac:dyDescent="0.25"/>
    <row r="27" spans="1:46" ht="11.25" customHeight="1" outlineLevel="1" x14ac:dyDescent="0.25">
      <c r="F27" s="24" t="s">
        <v>473</v>
      </c>
      <c r="H27" s="23" t="s">
        <v>86</v>
      </c>
    </row>
    <row r="28" spans="1:46" ht="11.25" customHeight="1" outlineLevel="1" x14ac:dyDescent="0.35">
      <c r="A28" s="3"/>
      <c r="B28" s="3"/>
      <c r="C28" s="3"/>
      <c r="D28" s="3"/>
      <c r="E28" s="3"/>
      <c r="F28" t="s">
        <v>68</v>
      </c>
      <c r="H28" s="22">
        <f>SUM(N28:AT28)</f>
        <v>160098376.3020395</v>
      </c>
      <c r="N28" s="22">
        <f>N15*N$8</f>
        <v>18979500</v>
      </c>
      <c r="O28" s="22">
        <f t="shared" ref="O28:AR29" si="3">O15*O$8</f>
        <v>18249519.230769228</v>
      </c>
      <c r="P28" s="22">
        <f t="shared" si="3"/>
        <v>17547614.644970413</v>
      </c>
      <c r="Q28" s="22">
        <f t="shared" si="3"/>
        <v>16872706.38939463</v>
      </c>
      <c r="R28" s="22">
        <f t="shared" si="3"/>
        <v>16223756.143648678</v>
      </c>
      <c r="S28" s="22">
        <f t="shared" si="3"/>
        <v>15599765.522739112</v>
      </c>
      <c r="T28" s="22">
        <f t="shared" si="3"/>
        <v>14999774.5410953</v>
      </c>
      <c r="U28" s="22">
        <f t="shared" si="3"/>
        <v>14422860.135668561</v>
      </c>
      <c r="V28" s="22">
        <f t="shared" si="3"/>
        <v>13868134.745835152</v>
      </c>
      <c r="W28" s="22">
        <f t="shared" si="3"/>
        <v>13334744.947918413</v>
      </c>
      <c r="X28" s="22">
        <f t="shared" si="3"/>
        <v>0</v>
      </c>
      <c r="Y28" s="22">
        <f t="shared" si="3"/>
        <v>0</v>
      </c>
      <c r="Z28" s="22">
        <f t="shared" si="3"/>
        <v>0</v>
      </c>
      <c r="AA28" s="22">
        <f t="shared" si="3"/>
        <v>0</v>
      </c>
      <c r="AB28" s="22">
        <f t="shared" si="3"/>
        <v>0</v>
      </c>
      <c r="AC28" s="22">
        <f t="shared" si="3"/>
        <v>0</v>
      </c>
      <c r="AD28" s="22">
        <f t="shared" si="3"/>
        <v>0</v>
      </c>
      <c r="AE28" s="22">
        <f t="shared" si="3"/>
        <v>0</v>
      </c>
      <c r="AF28" s="22">
        <f t="shared" si="3"/>
        <v>0</v>
      </c>
      <c r="AG28" s="22">
        <f t="shared" si="3"/>
        <v>0</v>
      </c>
      <c r="AH28" s="22">
        <f t="shared" si="3"/>
        <v>0</v>
      </c>
      <c r="AI28" s="22">
        <f t="shared" si="3"/>
        <v>0</v>
      </c>
      <c r="AJ28" s="22">
        <f t="shared" si="3"/>
        <v>0</v>
      </c>
      <c r="AK28" s="22">
        <f t="shared" si="3"/>
        <v>0</v>
      </c>
      <c r="AL28" s="22">
        <f t="shared" si="3"/>
        <v>0</v>
      </c>
      <c r="AM28" s="22">
        <f t="shared" si="3"/>
        <v>0</v>
      </c>
      <c r="AN28" s="22">
        <f t="shared" si="3"/>
        <v>0</v>
      </c>
      <c r="AO28" s="22">
        <f t="shared" si="3"/>
        <v>0</v>
      </c>
      <c r="AP28" s="22">
        <f t="shared" si="3"/>
        <v>0</v>
      </c>
      <c r="AQ28" s="22">
        <f t="shared" si="3"/>
        <v>0</v>
      </c>
      <c r="AR28" s="22">
        <f t="shared" si="3"/>
        <v>0</v>
      </c>
    </row>
    <row r="29" spans="1:46" ht="11.25" customHeight="1" outlineLevel="1" x14ac:dyDescent="0.35">
      <c r="A29" s="3"/>
      <c r="B29" s="3"/>
      <c r="C29" s="3"/>
      <c r="D29" s="3"/>
      <c r="E29" s="3"/>
      <c r="F29" t="s">
        <v>69</v>
      </c>
      <c r="H29" s="22">
        <f>SUM(N29:AT29)</f>
        <v>50790517.357012026</v>
      </c>
      <c r="N29" s="22">
        <f>N16*N$8</f>
        <v>0</v>
      </c>
      <c r="O29" s="22">
        <f t="shared" si="3"/>
        <v>364990.38461538457</v>
      </c>
      <c r="P29" s="22">
        <f t="shared" si="3"/>
        <v>701904.58579881652</v>
      </c>
      <c r="Q29" s="22">
        <f t="shared" si="3"/>
        <v>1012362.3833636778</v>
      </c>
      <c r="R29" s="22">
        <f t="shared" si="3"/>
        <v>1297900.4914918942</v>
      </c>
      <c r="S29" s="22">
        <f t="shared" si="3"/>
        <v>1559976.5522739112</v>
      </c>
      <c r="T29" s="22">
        <f t="shared" si="3"/>
        <v>1799972.9449314361</v>
      </c>
      <c r="U29" s="22">
        <f t="shared" si="3"/>
        <v>2019200.4189935985</v>
      </c>
      <c r="V29" s="22">
        <f t="shared" si="3"/>
        <v>2218901.5593336243</v>
      </c>
      <c r="W29" s="22">
        <f t="shared" si="3"/>
        <v>2400254.090625314</v>
      </c>
      <c r="X29" s="22">
        <f t="shared" si="3"/>
        <v>2564374.0284458487</v>
      </c>
      <c r="Y29" s="22">
        <f t="shared" si="3"/>
        <v>2465744.2581210085</v>
      </c>
      <c r="Z29" s="22">
        <f t="shared" si="3"/>
        <v>2370907.9405009691</v>
      </c>
      <c r="AA29" s="22">
        <f t="shared" si="3"/>
        <v>2279719.173558624</v>
      </c>
      <c r="AB29" s="22">
        <f t="shared" si="3"/>
        <v>2192037.6668832926</v>
      </c>
      <c r="AC29" s="22">
        <f t="shared" si="3"/>
        <v>2107728.5258493195</v>
      </c>
      <c r="AD29" s="22">
        <f t="shared" si="3"/>
        <v>2026662.044085884</v>
      </c>
      <c r="AE29" s="22">
        <f t="shared" si="3"/>
        <v>1948713.5039287347</v>
      </c>
      <c r="AF29" s="22">
        <f t="shared" si="3"/>
        <v>1873762.98454686</v>
      </c>
      <c r="AG29" s="22">
        <f t="shared" si="3"/>
        <v>1801695.1774489039</v>
      </c>
      <c r="AH29" s="22">
        <f t="shared" si="3"/>
        <v>1732399.2090854845</v>
      </c>
      <c r="AI29" s="22">
        <f t="shared" si="3"/>
        <v>1665768.4702745038</v>
      </c>
      <c r="AJ29" s="22">
        <f t="shared" si="3"/>
        <v>1601700.4521870231</v>
      </c>
      <c r="AK29" s="22">
        <f t="shared" si="3"/>
        <v>1540096.5886413686</v>
      </c>
      <c r="AL29" s="22">
        <f t="shared" si="3"/>
        <v>1480862.1044628543</v>
      </c>
      <c r="AM29" s="22">
        <f t="shared" si="3"/>
        <v>1423905.8696758212</v>
      </c>
      <c r="AN29" s="22">
        <f t="shared" si="3"/>
        <v>1369140.2593036743</v>
      </c>
      <c r="AO29" s="22">
        <f t="shared" si="3"/>
        <v>1316481.0185612252</v>
      </c>
      <c r="AP29" s="22">
        <f t="shared" si="3"/>
        <v>1265847.1332319472</v>
      </c>
      <c r="AQ29" s="22">
        <f t="shared" si="3"/>
        <v>1217160.7050307184</v>
      </c>
      <c r="AR29" s="22">
        <f t="shared" si="3"/>
        <v>1170346.8317603061</v>
      </c>
    </row>
    <row r="30" spans="1:46" s="24" customFormat="1" ht="11.25" customHeight="1" outlineLevel="1" x14ac:dyDescent="0.35">
      <c r="A30" s="33"/>
      <c r="B30" s="33"/>
      <c r="C30" s="33"/>
      <c r="D30" s="33"/>
      <c r="E30" s="33"/>
      <c r="F30" s="24" t="s">
        <v>46</v>
      </c>
      <c r="H30" s="34">
        <f>SUM(N30:AT30)</f>
        <v>210888893.65905154</v>
      </c>
      <c r="N30" s="34">
        <f>SUM(N28:N29)</f>
        <v>18979500</v>
      </c>
      <c r="O30" s="34">
        <f t="shared" ref="O30:AR30" si="4">SUM(O28:O29)</f>
        <v>18614509.615384612</v>
      </c>
      <c r="P30" s="34">
        <f t="shared" si="4"/>
        <v>18249519.230769228</v>
      </c>
      <c r="Q30" s="34">
        <f t="shared" si="4"/>
        <v>17885068.772758309</v>
      </c>
      <c r="R30" s="34">
        <f t="shared" si="4"/>
        <v>17521656.635140572</v>
      </c>
      <c r="S30" s="34">
        <f t="shared" si="4"/>
        <v>17159742.075013023</v>
      </c>
      <c r="T30" s="34">
        <f t="shared" si="4"/>
        <v>16799747.486026734</v>
      </c>
      <c r="U30" s="34">
        <f t="shared" si="4"/>
        <v>16442060.554662159</v>
      </c>
      <c r="V30" s="34">
        <f t="shared" si="4"/>
        <v>16087036.305168776</v>
      </c>
      <c r="W30" s="34">
        <f t="shared" si="4"/>
        <v>15734999.038543727</v>
      </c>
      <c r="X30" s="34">
        <f t="shared" si="4"/>
        <v>2564374.0284458487</v>
      </c>
      <c r="Y30" s="34">
        <f t="shared" si="4"/>
        <v>2465744.2581210085</v>
      </c>
      <c r="Z30" s="34">
        <f t="shared" si="4"/>
        <v>2370907.9405009691</v>
      </c>
      <c r="AA30" s="34">
        <f t="shared" si="4"/>
        <v>2279719.173558624</v>
      </c>
      <c r="AB30" s="34">
        <f t="shared" si="4"/>
        <v>2192037.6668832926</v>
      </c>
      <c r="AC30" s="34">
        <f t="shared" si="4"/>
        <v>2107728.5258493195</v>
      </c>
      <c r="AD30" s="34">
        <f t="shared" si="4"/>
        <v>2026662.044085884</v>
      </c>
      <c r="AE30" s="34">
        <f t="shared" si="4"/>
        <v>1948713.5039287347</v>
      </c>
      <c r="AF30" s="34">
        <f t="shared" si="4"/>
        <v>1873762.98454686</v>
      </c>
      <c r="AG30" s="34">
        <f t="shared" si="4"/>
        <v>1801695.1774489039</v>
      </c>
      <c r="AH30" s="34">
        <f t="shared" si="4"/>
        <v>1732399.2090854845</v>
      </c>
      <c r="AI30" s="34">
        <f t="shared" si="4"/>
        <v>1665768.4702745038</v>
      </c>
      <c r="AJ30" s="34">
        <f t="shared" si="4"/>
        <v>1601700.4521870231</v>
      </c>
      <c r="AK30" s="34">
        <f t="shared" si="4"/>
        <v>1540096.5886413686</v>
      </c>
      <c r="AL30" s="34">
        <f t="shared" si="4"/>
        <v>1480862.1044628543</v>
      </c>
      <c r="AM30" s="34">
        <f t="shared" si="4"/>
        <v>1423905.8696758212</v>
      </c>
      <c r="AN30" s="34">
        <f t="shared" si="4"/>
        <v>1369140.2593036743</v>
      </c>
      <c r="AO30" s="34">
        <f t="shared" si="4"/>
        <v>1316481.0185612252</v>
      </c>
      <c r="AP30" s="34">
        <f t="shared" si="4"/>
        <v>1265847.1332319472</v>
      </c>
      <c r="AQ30" s="34">
        <f t="shared" si="4"/>
        <v>1217160.7050307184</v>
      </c>
      <c r="AR30" s="34">
        <f t="shared" si="4"/>
        <v>1170346.8317603061</v>
      </c>
      <c r="AS30"/>
      <c r="AT30"/>
    </row>
    <row r="31" spans="1:46" ht="11.25" customHeight="1" outlineLevel="1" x14ac:dyDescent="0.35">
      <c r="A31" s="3"/>
      <c r="B31" s="3"/>
      <c r="C31" s="3"/>
      <c r="D31" s="3"/>
      <c r="E31" s="3"/>
      <c r="N31" s="4"/>
      <c r="O31" s="4"/>
    </row>
    <row r="32" spans="1:46" ht="11.25" customHeight="1" outlineLevel="1" x14ac:dyDescent="0.35">
      <c r="A32" s="3"/>
      <c r="B32" s="3"/>
      <c r="C32" s="3"/>
      <c r="D32" s="3"/>
      <c r="E32" s="3"/>
      <c r="F32" s="24" t="s">
        <v>0</v>
      </c>
      <c r="H32" s="23" t="s">
        <v>86</v>
      </c>
    </row>
    <row r="33" spans="1:46" ht="11.25" customHeight="1" outlineLevel="1" x14ac:dyDescent="0.35">
      <c r="A33" s="3"/>
      <c r="B33" s="3"/>
      <c r="C33" s="3"/>
      <c r="D33" s="3"/>
      <c r="E33" s="3"/>
      <c r="F33" t="s">
        <v>470</v>
      </c>
      <c r="H33" s="22">
        <f>SUM(N33:AT33)</f>
        <v>276723261.66201645</v>
      </c>
      <c r="N33" s="22">
        <f>N20*N$8</f>
        <v>0</v>
      </c>
      <c r="O33" s="22">
        <f t="shared" ref="O33:AR35" si="5">O20*O$8</f>
        <v>2981263.5702147651</v>
      </c>
      <c r="P33" s="22">
        <f t="shared" si="5"/>
        <v>4222353.679358894</v>
      </c>
      <c r="Q33" s="22">
        <f t="shared" si="5"/>
        <v>5411956.34318983</v>
      </c>
      <c r="R33" s="22">
        <f t="shared" si="5"/>
        <v>6550361.4582444895</v>
      </c>
      <c r="S33" s="22">
        <f t="shared" si="5"/>
        <v>7637980.8913180111</v>
      </c>
      <c r="T33" s="22">
        <f t="shared" si="5"/>
        <v>8675336.2963160612</v>
      </c>
      <c r="U33" s="22">
        <f t="shared" si="5"/>
        <v>9663047.7522006594</v>
      </c>
      <c r="V33" s="22">
        <f t="shared" si="5"/>
        <v>10601823.177565239</v>
      </c>
      <c r="W33" s="22">
        <f t="shared" si="5"/>
        <v>11492448.4791571</v>
      </c>
      <c r="X33" s="22">
        <f t="shared" si="5"/>
        <v>12363236.589514541</v>
      </c>
      <c r="Y33" s="22">
        <f t="shared" si="5"/>
        <v>12113571.167406159</v>
      </c>
      <c r="Z33" s="22">
        <f t="shared" si="5"/>
        <v>11864966.788849447</v>
      </c>
      <c r="AA33" s="22">
        <f t="shared" si="5"/>
        <v>11617700.295673503</v>
      </c>
      <c r="AB33" s="22">
        <f t="shared" si="5"/>
        <v>11372026.541355221</v>
      </c>
      <c r="AC33" s="22">
        <f t="shared" si="5"/>
        <v>11128179.596558552</v>
      </c>
      <c r="AD33" s="22">
        <f t="shared" si="5"/>
        <v>10886373.901655143</v>
      </c>
      <c r="AE33" s="22">
        <f t="shared" si="5"/>
        <v>10646805.367789412</v>
      </c>
      <c r="AF33" s="22">
        <f t="shared" si="5"/>
        <v>10409652.428089997</v>
      </c>
      <c r="AG33" s="22">
        <f t="shared" si="5"/>
        <v>10175077.040653018</v>
      </c>
      <c r="AH33" s="22">
        <f t="shared" si="5"/>
        <v>9937771.8525669649</v>
      </c>
      <c r="AI33" s="22">
        <f t="shared" si="5"/>
        <v>9703685.7646786645</v>
      </c>
      <c r="AJ33" s="22">
        <f t="shared" si="5"/>
        <v>9472920.9230269268</v>
      </c>
      <c r="AK33" s="22">
        <f t="shared" si="5"/>
        <v>9245566.95871724</v>
      </c>
      <c r="AL33" s="22">
        <f t="shared" si="5"/>
        <v>9021701.7902493048</v>
      </c>
      <c r="AM33" s="22">
        <f t="shared" si="5"/>
        <v>8801392.3835286982</v>
      </c>
      <c r="AN33" s="22">
        <f t="shared" si="5"/>
        <v>8584695.4715386238</v>
      </c>
      <c r="AO33" s="22">
        <f t="shared" si="5"/>
        <v>8371658.2355684442</v>
      </c>
      <c r="AP33" s="22">
        <f t="shared" si="5"/>
        <v>8162318.9498188151</v>
      </c>
      <c r="AQ33" s="22">
        <f t="shared" si="5"/>
        <v>7956707.591128055</v>
      </c>
      <c r="AR33" s="22">
        <f t="shared" si="5"/>
        <v>7650680.3760846695</v>
      </c>
    </row>
    <row r="34" spans="1:46" ht="11.25" customHeight="1" outlineLevel="1" x14ac:dyDescent="0.35">
      <c r="A34" s="3"/>
      <c r="B34" s="3"/>
      <c r="C34" s="3"/>
      <c r="D34" s="3"/>
      <c r="E34" s="3"/>
      <c r="F34" t="s">
        <v>471</v>
      </c>
      <c r="H34" s="22">
        <f>SUM(N34:AT34)</f>
        <v>17823481.657658171</v>
      </c>
      <c r="N34" s="22">
        <f>N21*N$8</f>
        <v>0</v>
      </c>
      <c r="O34" s="22">
        <f t="shared" si="5"/>
        <v>191342.72945223338</v>
      </c>
      <c r="P34" s="22">
        <f t="shared" si="5"/>
        <v>271101.30080837331</v>
      </c>
      <c r="Q34" s="22">
        <f t="shared" si="5"/>
        <v>347608.64033936861</v>
      </c>
      <c r="R34" s="22">
        <f t="shared" si="5"/>
        <v>420876.85476796306</v>
      </c>
      <c r="S34" s="22">
        <f t="shared" si="5"/>
        <v>490926.37470375467</v>
      </c>
      <c r="T34" s="22">
        <f t="shared" si="5"/>
        <v>557785.14267261501</v>
      </c>
      <c r="U34" s="22">
        <f t="shared" si="5"/>
        <v>621487.85531672509</v>
      </c>
      <c r="V34" s="22">
        <f t="shared" si="5"/>
        <v>682075.2568683495</v>
      </c>
      <c r="W34" s="22">
        <f t="shared" si="5"/>
        <v>739593.48111197981</v>
      </c>
      <c r="X34" s="22">
        <f t="shared" si="5"/>
        <v>794093.43916178786</v>
      </c>
      <c r="Y34" s="22">
        <f t="shared" si="5"/>
        <v>778327.84099555924</v>
      </c>
      <c r="Z34" s="22">
        <f t="shared" si="5"/>
        <v>762610.14866201056</v>
      </c>
      <c r="AA34" s="22">
        <f t="shared" si="5"/>
        <v>746959.25434941647</v>
      </c>
      <c r="AB34" s="22">
        <f t="shared" si="5"/>
        <v>731392.58664143062</v>
      </c>
      <c r="AC34" s="22">
        <f t="shared" si="5"/>
        <v>715926.18984449538</v>
      </c>
      <c r="AD34" s="22">
        <f t="shared" si="5"/>
        <v>700574.79988258902</v>
      </c>
      <c r="AE34" s="22">
        <f t="shared" si="5"/>
        <v>685351.91685418994</v>
      </c>
      <c r="AF34" s="22">
        <f t="shared" si="5"/>
        <v>670269.87434985721</v>
      </c>
      <c r="AG34" s="22">
        <f t="shared" si="5"/>
        <v>655339.9056312656</v>
      </c>
      <c r="AH34" s="22">
        <f t="shared" si="5"/>
        <v>640572.20677404513</v>
      </c>
      <c r="AI34" s="22">
        <f t="shared" si="5"/>
        <v>625632.65325480583</v>
      </c>
      <c r="AJ34" s="22">
        <f t="shared" si="5"/>
        <v>610895.75826181367</v>
      </c>
      <c r="AK34" s="22">
        <f t="shared" si="5"/>
        <v>596367.95240126702</v>
      </c>
      <c r="AL34" s="22">
        <f t="shared" si="5"/>
        <v>582054.87840145209</v>
      </c>
      <c r="AM34" s="22">
        <f t="shared" si="5"/>
        <v>567961.44162329193</v>
      </c>
      <c r="AN34" s="22">
        <f t="shared" si="5"/>
        <v>554091.85790689779</v>
      </c>
      <c r="AO34" s="22">
        <f t="shared" si="5"/>
        <v>540449.69887851807</v>
      </c>
      <c r="AP34" s="22">
        <f t="shared" si="5"/>
        <v>527037.93483729917</v>
      </c>
      <c r="AQ34" s="22">
        <f t="shared" si="5"/>
        <v>513858.97533641523</v>
      </c>
      <c r="AR34" s="22">
        <f t="shared" si="5"/>
        <v>500914.70756840461</v>
      </c>
    </row>
    <row r="35" spans="1:46" ht="11.25" customHeight="1" outlineLevel="1" x14ac:dyDescent="0.35">
      <c r="A35" s="3"/>
      <c r="B35" s="3"/>
      <c r="C35" s="3"/>
      <c r="D35" s="3"/>
      <c r="E35" s="3"/>
      <c r="F35" t="s">
        <v>472</v>
      </c>
      <c r="H35" s="22">
        <f>SUM(N35:AT35)</f>
        <v>151484480.24146041</v>
      </c>
      <c r="N35" s="22">
        <f>N22*N$8</f>
        <v>0</v>
      </c>
      <c r="O35" s="22">
        <f t="shared" si="5"/>
        <v>1632010.1161151286</v>
      </c>
      <c r="P35" s="22">
        <f t="shared" si="5"/>
        <v>2311410.4996872977</v>
      </c>
      <c r="Q35" s="22">
        <f t="shared" si="5"/>
        <v>2962625.5082917642</v>
      </c>
      <c r="R35" s="22">
        <f t="shared" si="5"/>
        <v>3585813.8377532116</v>
      </c>
      <c r="S35" s="22">
        <f t="shared" si="5"/>
        <v>4181200.953133794</v>
      </c>
      <c r="T35" s="22">
        <f t="shared" si="5"/>
        <v>4749072.4194065873</v>
      </c>
      <c r="U35" s="22">
        <f t="shared" si="5"/>
        <v>5289767.6816139286</v>
      </c>
      <c r="V35" s="22">
        <f t="shared" si="5"/>
        <v>5803674.2701699035</v>
      </c>
      <c r="W35" s="22">
        <f t="shared" si="5"/>
        <v>6291222.4079420017</v>
      </c>
      <c r="X35" s="22">
        <f t="shared" si="5"/>
        <v>6767911.2251584325</v>
      </c>
      <c r="Y35" s="22">
        <f t="shared" si="5"/>
        <v>6631238.8092755014</v>
      </c>
      <c r="Z35" s="22">
        <f t="shared" si="5"/>
        <v>6495147.232278225</v>
      </c>
      <c r="AA35" s="22">
        <f t="shared" si="5"/>
        <v>6359788.0435532946</v>
      </c>
      <c r="AB35" s="22">
        <f t="shared" si="5"/>
        <v>6225300.7555734068</v>
      </c>
      <c r="AC35" s="22">
        <f t="shared" si="5"/>
        <v>6091813.5038363021</v>
      </c>
      <c r="AD35" s="22">
        <f t="shared" si="5"/>
        <v>5959443.677780237</v>
      </c>
      <c r="AE35" s="22">
        <f t="shared" si="5"/>
        <v>5828298.5235315692</v>
      </c>
      <c r="AF35" s="22">
        <f t="shared" si="5"/>
        <v>5698475.7193613146</v>
      </c>
      <c r="AG35" s="22">
        <f t="shared" si="5"/>
        <v>5570063.9247405557</v>
      </c>
      <c r="AH35" s="22">
        <f t="shared" si="5"/>
        <v>5440157.7764105881</v>
      </c>
      <c r="AI35" s="22">
        <f t="shared" si="5"/>
        <v>5312013.8352668714</v>
      </c>
      <c r="AJ35" s="22">
        <f t="shared" si="5"/>
        <v>5185688.0183273759</v>
      </c>
      <c r="AK35" s="22">
        <f t="shared" si="5"/>
        <v>5061229.3916566838</v>
      </c>
      <c r="AL35" s="22">
        <f t="shared" si="5"/>
        <v>4938680.6095779603</v>
      </c>
      <c r="AM35" s="22">
        <f t="shared" si="5"/>
        <v>4818078.3307202598</v>
      </c>
      <c r="AN35" s="22">
        <f t="shared" si="5"/>
        <v>4699453.6119828839</v>
      </c>
      <c r="AO35" s="22">
        <f t="shared" si="5"/>
        <v>4582832.2814550679</v>
      </c>
      <c r="AP35" s="22">
        <f t="shared" si="5"/>
        <v>4468235.2912872061</v>
      </c>
      <c r="AQ35" s="22">
        <f t="shared" si="5"/>
        <v>4355679.0514686219</v>
      </c>
      <c r="AR35" s="22">
        <f t="shared" si="5"/>
        <v>4188152.9341044449</v>
      </c>
    </row>
    <row r="36" spans="1:46" s="24" customFormat="1" ht="11.25" customHeight="1" outlineLevel="1" x14ac:dyDescent="0.35">
      <c r="A36" s="33"/>
      <c r="B36" s="33"/>
      <c r="C36" s="33"/>
      <c r="D36" s="33"/>
      <c r="E36" s="33"/>
      <c r="F36" s="24" t="s">
        <v>67</v>
      </c>
      <c r="H36" s="34">
        <f t="shared" ref="H36" si="6">SUM(N36:AT36)</f>
        <v>446031223.56113505</v>
      </c>
      <c r="N36" s="34">
        <f t="shared" ref="N36:AR36" si="7">SUM(N33:N35)</f>
        <v>0</v>
      </c>
      <c r="O36" s="34">
        <f t="shared" si="7"/>
        <v>4804616.4157821275</v>
      </c>
      <c r="P36" s="34">
        <f t="shared" si="7"/>
        <v>6804865.4798545651</v>
      </c>
      <c r="Q36" s="34">
        <f t="shared" si="7"/>
        <v>8722190.4918209631</v>
      </c>
      <c r="R36" s="34">
        <f t="shared" si="7"/>
        <v>10557052.150765665</v>
      </c>
      <c r="S36" s="34">
        <f t="shared" si="7"/>
        <v>12310108.219155559</v>
      </c>
      <c r="T36" s="34">
        <f t="shared" si="7"/>
        <v>13982193.858395264</v>
      </c>
      <c r="U36" s="34">
        <f t="shared" si="7"/>
        <v>15574303.289131314</v>
      </c>
      <c r="V36" s="34">
        <f t="shared" si="7"/>
        <v>17087572.704603493</v>
      </c>
      <c r="W36" s="34">
        <f t="shared" si="7"/>
        <v>18523264.368211079</v>
      </c>
      <c r="X36" s="34">
        <f t="shared" si="7"/>
        <v>19925241.253834762</v>
      </c>
      <c r="Y36" s="34">
        <f t="shared" si="7"/>
        <v>19523137.817677218</v>
      </c>
      <c r="Z36" s="34">
        <f t="shared" si="7"/>
        <v>19122724.169789683</v>
      </c>
      <c r="AA36" s="34">
        <f t="shared" si="7"/>
        <v>18724447.593576215</v>
      </c>
      <c r="AB36" s="34">
        <f t="shared" si="7"/>
        <v>18328719.88357006</v>
      </c>
      <c r="AC36" s="34">
        <f t="shared" si="7"/>
        <v>17935919.290239349</v>
      </c>
      <c r="AD36" s="34">
        <f t="shared" si="7"/>
        <v>17546392.379317969</v>
      </c>
      <c r="AE36" s="34">
        <f t="shared" si="7"/>
        <v>17160455.808175169</v>
      </c>
      <c r="AF36" s="34">
        <f t="shared" si="7"/>
        <v>16778398.021801166</v>
      </c>
      <c r="AG36" s="34">
        <f t="shared" si="7"/>
        <v>16400480.87102484</v>
      </c>
      <c r="AH36" s="34">
        <f t="shared" si="7"/>
        <v>16018501.835751597</v>
      </c>
      <c r="AI36" s="34">
        <f t="shared" si="7"/>
        <v>15641332.253200341</v>
      </c>
      <c r="AJ36" s="34">
        <f t="shared" si="7"/>
        <v>15269504.699616116</v>
      </c>
      <c r="AK36" s="34">
        <f t="shared" si="7"/>
        <v>14903164.302775191</v>
      </c>
      <c r="AL36" s="34">
        <f t="shared" si="7"/>
        <v>14542437.278228719</v>
      </c>
      <c r="AM36" s="34">
        <f t="shared" si="7"/>
        <v>14187432.155872252</v>
      </c>
      <c r="AN36" s="34">
        <f t="shared" si="7"/>
        <v>13838240.941428406</v>
      </c>
      <c r="AO36" s="34">
        <f t="shared" si="7"/>
        <v>13494940.21590203</v>
      </c>
      <c r="AP36" s="34">
        <f t="shared" si="7"/>
        <v>13157592.175943321</v>
      </c>
      <c r="AQ36" s="34">
        <f t="shared" si="7"/>
        <v>12826245.617933093</v>
      </c>
      <c r="AR36" s="34">
        <f t="shared" si="7"/>
        <v>12339748.017757518</v>
      </c>
      <c r="AS36"/>
      <c r="AT36"/>
    </row>
    <row r="38" spans="1:46" x14ac:dyDescent="0.25">
      <c r="F38" s="24" t="s">
        <v>565</v>
      </c>
      <c r="G38" s="24"/>
      <c r="H38" s="34">
        <f>H36-H30</f>
        <v>235142329.90208352</v>
      </c>
    </row>
    <row r="39" spans="1:46" x14ac:dyDescent="0.25">
      <c r="F39" s="24" t="s">
        <v>539</v>
      </c>
      <c r="G39" s="57"/>
      <c r="H39" s="61">
        <f>H36/H30</f>
        <v>2.1150057540832048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D32AF-E9C9-423F-843C-EA547FC7C03E}">
  <sheetPr>
    <pageSetUpPr autoPageBreaks="0"/>
  </sheetPr>
  <dimension ref="A1:AT39"/>
  <sheetViews>
    <sheetView showGridLines="0" workbookViewId="0">
      <selection activeCell="G24" sqref="G24"/>
    </sheetView>
  </sheetViews>
  <sheetFormatPr defaultColWidth="9.125" defaultRowHeight="10.5" outlineLevelRow="1" outlineLevelCol="1" x14ac:dyDescent="0.25"/>
  <cols>
    <col min="1" max="1" width="2.875" customWidth="1"/>
    <col min="2" max="3" width="13.375" hidden="1" customWidth="1" outlineLevel="1"/>
    <col min="4" max="4" width="2.875" customWidth="1" collapsed="1"/>
    <col min="5" max="5" width="2.875" customWidth="1"/>
    <col min="6" max="6" width="50.875" customWidth="1"/>
    <col min="7" max="7" width="9.375" customWidth="1"/>
    <col min="8" max="8" width="17" customWidth="1"/>
    <col min="9" max="9" width="9.375" customWidth="1"/>
    <col min="10" max="13" width="2.875" hidden="1" customWidth="1" outlineLevel="1"/>
    <col min="14" max="14" width="14.875" customWidth="1" collapsed="1"/>
    <col min="15" max="46" width="14.875" customWidth="1"/>
  </cols>
  <sheetData>
    <row r="1" spans="1:44" ht="15.5" x14ac:dyDescent="0.25">
      <c r="A1" s="5" t="str">
        <f ca="1">MID(CELL("filename",A1),FIND("]",CELL("filename",A1))+1,255)</f>
        <v>10%</v>
      </c>
      <c r="B1" s="5"/>
      <c r="C1" s="5"/>
      <c r="D1" s="5"/>
      <c r="E1" s="5"/>
      <c r="F1" s="5"/>
      <c r="G1" s="5"/>
      <c r="H1" s="5"/>
      <c r="I1" s="5"/>
      <c r="J1" s="5"/>
      <c r="K1" s="5"/>
      <c r="L1" s="5"/>
      <c r="M1" s="5"/>
    </row>
    <row r="3" spans="1:44" x14ac:dyDescent="0.25">
      <c r="F3" t="str">
        <f>General!F17</f>
        <v>Financial year ending</v>
      </c>
      <c r="H3" s="11" t="str">
        <f>General!H7</f>
        <v>%</v>
      </c>
      <c r="N3" s="31">
        <f>General!N17</f>
        <v>2022</v>
      </c>
      <c r="O3" s="31">
        <f>General!O17</f>
        <v>2023</v>
      </c>
      <c r="P3" s="31">
        <f>General!P17</f>
        <v>2024</v>
      </c>
      <c r="Q3" s="31">
        <f>General!Q17</f>
        <v>2025</v>
      </c>
      <c r="R3" s="31">
        <f>General!R17</f>
        <v>2026</v>
      </c>
      <c r="S3" s="31">
        <f>General!S17</f>
        <v>2027</v>
      </c>
      <c r="T3" s="31">
        <f>General!T17</f>
        <v>2028</v>
      </c>
      <c r="U3" s="31">
        <f>General!U17</f>
        <v>2029</v>
      </c>
      <c r="V3" s="31">
        <f>General!V17</f>
        <v>2030</v>
      </c>
      <c r="W3" s="31">
        <f>General!W17</f>
        <v>2031</v>
      </c>
      <c r="X3" s="31">
        <f>General!X17</f>
        <v>2032</v>
      </c>
      <c r="Y3" s="31">
        <f>General!Y17</f>
        <v>2033</v>
      </c>
      <c r="Z3" s="31">
        <f>General!Z17</f>
        <v>2034</v>
      </c>
      <c r="AA3" s="31">
        <f>General!AA17</f>
        <v>2035</v>
      </c>
      <c r="AB3" s="31">
        <f>General!AB17</f>
        <v>2036</v>
      </c>
      <c r="AC3" s="31">
        <f>General!AC17</f>
        <v>2037</v>
      </c>
      <c r="AD3" s="31">
        <f>General!AD17</f>
        <v>2038</v>
      </c>
      <c r="AE3" s="31">
        <f>General!AE17</f>
        <v>2039</v>
      </c>
      <c r="AF3" s="31">
        <f>General!AF17</f>
        <v>2040</v>
      </c>
      <c r="AG3" s="31">
        <f>General!AG17</f>
        <v>2041</v>
      </c>
      <c r="AH3" s="31">
        <f>General!AH17</f>
        <v>2042</v>
      </c>
      <c r="AI3" s="31">
        <f>General!AI17</f>
        <v>2043</v>
      </c>
      <c r="AJ3" s="31">
        <f>General!AJ17</f>
        <v>2044</v>
      </c>
      <c r="AK3" s="31">
        <f>General!AK17</f>
        <v>2045</v>
      </c>
      <c r="AL3" s="31">
        <f>General!AL17</f>
        <v>2046</v>
      </c>
      <c r="AM3" s="31">
        <f>General!AM17</f>
        <v>2047</v>
      </c>
      <c r="AN3" s="31">
        <f>General!AN17</f>
        <v>2048</v>
      </c>
      <c r="AO3" s="31">
        <f>General!AO17</f>
        <v>2049</v>
      </c>
      <c r="AP3" s="31">
        <f>General!AP17</f>
        <v>2050</v>
      </c>
      <c r="AQ3" s="31">
        <f>General!AQ17</f>
        <v>2051</v>
      </c>
      <c r="AR3" s="31">
        <f>General!AR17</f>
        <v>2052</v>
      </c>
    </row>
    <row r="4" spans="1:44" x14ac:dyDescent="0.25">
      <c r="F4" t="str">
        <f>General!F18</f>
        <v>Period number</v>
      </c>
      <c r="H4" s="11" t="str">
        <f>General!H8</f>
        <v>#</v>
      </c>
      <c r="N4" s="19">
        <f>General!N18</f>
        <v>1</v>
      </c>
      <c r="O4" s="22">
        <f>General!O18</f>
        <v>2</v>
      </c>
      <c r="P4" s="22">
        <f>General!P18</f>
        <v>3</v>
      </c>
      <c r="Q4" s="22">
        <f>General!Q18</f>
        <v>4</v>
      </c>
      <c r="R4" s="22">
        <f>General!R18</f>
        <v>5</v>
      </c>
      <c r="S4" s="22">
        <f>General!S18</f>
        <v>6</v>
      </c>
      <c r="T4" s="22">
        <f>General!T18</f>
        <v>7</v>
      </c>
      <c r="U4" s="22">
        <f>General!U18</f>
        <v>8</v>
      </c>
      <c r="V4" s="22">
        <f>General!V18</f>
        <v>9</v>
      </c>
      <c r="W4" s="22">
        <f>General!W18</f>
        <v>10</v>
      </c>
      <c r="X4" s="22">
        <f>General!X18</f>
        <v>11</v>
      </c>
      <c r="Y4" s="22">
        <f>General!Y18</f>
        <v>12</v>
      </c>
      <c r="Z4" s="22">
        <f>General!Z18</f>
        <v>13</v>
      </c>
      <c r="AA4" s="22">
        <f>General!AA18</f>
        <v>14</v>
      </c>
      <c r="AB4" s="22">
        <f>General!AB18</f>
        <v>15</v>
      </c>
      <c r="AC4" s="22">
        <f>General!AC18</f>
        <v>16</v>
      </c>
      <c r="AD4" s="22">
        <f>General!AD18</f>
        <v>17</v>
      </c>
      <c r="AE4" s="22">
        <f>General!AE18</f>
        <v>18</v>
      </c>
      <c r="AF4" s="22">
        <f>General!AF18</f>
        <v>19</v>
      </c>
      <c r="AG4" s="22">
        <f>General!AG18</f>
        <v>20</v>
      </c>
      <c r="AH4" s="22">
        <f>General!AH18</f>
        <v>21</v>
      </c>
      <c r="AI4" s="22">
        <f>General!AI18</f>
        <v>22</v>
      </c>
      <c r="AJ4" s="22">
        <f>General!AJ18</f>
        <v>23</v>
      </c>
      <c r="AK4" s="22">
        <f>General!AK18</f>
        <v>24</v>
      </c>
      <c r="AL4" s="22">
        <f>General!AL18</f>
        <v>25</v>
      </c>
      <c r="AM4" s="22">
        <f>General!AM18</f>
        <v>26</v>
      </c>
      <c r="AN4" s="22">
        <f>General!AN18</f>
        <v>27</v>
      </c>
      <c r="AO4" s="22">
        <f>General!AO18</f>
        <v>28</v>
      </c>
      <c r="AP4" s="22">
        <f>General!AP18</f>
        <v>29</v>
      </c>
      <c r="AQ4" s="22">
        <f>General!AQ18</f>
        <v>30</v>
      </c>
      <c r="AR4" s="22">
        <f>General!AR18</f>
        <v>31</v>
      </c>
    </row>
    <row r="5" spans="1:44" x14ac:dyDescent="0.25">
      <c r="F5" t="str">
        <f>General!F19</f>
        <v>Construction year</v>
      </c>
      <c r="H5" s="11" t="str">
        <f>General!H9</f>
        <v>dd/mm/yyyy</v>
      </c>
      <c r="N5" s="19">
        <f>General!N19</f>
        <v>1</v>
      </c>
      <c r="O5" s="22">
        <f>General!O19</f>
        <v>2</v>
      </c>
      <c r="P5" s="22">
        <f>General!P19</f>
        <v>3</v>
      </c>
      <c r="Q5" s="22">
        <f>General!Q19</f>
        <v>4</v>
      </c>
      <c r="R5" s="22">
        <f>General!R19</f>
        <v>5</v>
      </c>
      <c r="S5" s="22">
        <f>General!S19</f>
        <v>6</v>
      </c>
      <c r="T5" s="22">
        <f>General!T19</f>
        <v>7</v>
      </c>
      <c r="U5" s="22">
        <f>General!U19</f>
        <v>8</v>
      </c>
      <c r="V5" s="22">
        <f>General!V19</f>
        <v>9</v>
      </c>
      <c r="W5" s="22">
        <f>General!W19</f>
        <v>10</v>
      </c>
      <c r="X5" s="22" t="str">
        <f>General!X19</f>
        <v>N/A</v>
      </c>
      <c r="Y5" s="22" t="str">
        <f>General!Y19</f>
        <v>N/A</v>
      </c>
      <c r="Z5" s="22" t="str">
        <f>General!Z19</f>
        <v>N/A</v>
      </c>
      <c r="AA5" s="22" t="str">
        <f>General!AA19</f>
        <v>N/A</v>
      </c>
      <c r="AB5" s="22" t="str">
        <f>General!AB19</f>
        <v>N/A</v>
      </c>
      <c r="AC5" s="22" t="str">
        <f>General!AC19</f>
        <v>N/A</v>
      </c>
      <c r="AD5" s="22" t="str">
        <f>General!AD19</f>
        <v>N/A</v>
      </c>
      <c r="AE5" s="22" t="str">
        <f>General!AE19</f>
        <v>N/A</v>
      </c>
      <c r="AF5" s="22" t="str">
        <f>General!AF19</f>
        <v>N/A</v>
      </c>
      <c r="AG5" s="22" t="str">
        <f>General!AG19</f>
        <v>N/A</v>
      </c>
      <c r="AH5" s="22" t="str">
        <f>General!AH19</f>
        <v>N/A</v>
      </c>
      <c r="AI5" s="22" t="str">
        <f>General!AI19</f>
        <v>N/A</v>
      </c>
      <c r="AJ5" s="22" t="str">
        <f>General!AJ19</f>
        <v>N/A</v>
      </c>
      <c r="AK5" s="22" t="str">
        <f>General!AK19</f>
        <v>N/A</v>
      </c>
      <c r="AL5" s="22" t="str">
        <f>General!AL19</f>
        <v>N/A</v>
      </c>
      <c r="AM5" s="22" t="str">
        <f>General!AM19</f>
        <v>N/A</v>
      </c>
      <c r="AN5" s="22" t="str">
        <f>General!AN19</f>
        <v>N/A</v>
      </c>
      <c r="AO5" s="22" t="str">
        <f>General!AO19</f>
        <v>N/A</v>
      </c>
      <c r="AP5" s="22" t="str">
        <f>General!AP19</f>
        <v>N/A</v>
      </c>
      <c r="AQ5" s="22" t="str">
        <f>General!AQ19</f>
        <v>N/A</v>
      </c>
      <c r="AR5" s="22" t="str">
        <f>General!AR19</f>
        <v>N/A</v>
      </c>
    </row>
    <row r="6" spans="1:44" x14ac:dyDescent="0.25">
      <c r="F6" t="str">
        <f>General!F20</f>
        <v>Benefit ramp up</v>
      </c>
      <c r="H6" s="11" t="str">
        <f>General!H10</f>
        <v>dd/mm/yyyy</v>
      </c>
      <c r="N6" s="14">
        <f>General!N20</f>
        <v>0</v>
      </c>
      <c r="O6" s="14">
        <f>General!O20</f>
        <v>0.2</v>
      </c>
      <c r="P6" s="40">
        <f>General!P20</f>
        <v>0.28888888888888892</v>
      </c>
      <c r="Q6" s="40">
        <f>General!Q20</f>
        <v>0.37777777777777782</v>
      </c>
      <c r="R6" s="40">
        <f>General!R20</f>
        <v>0.46666666666666673</v>
      </c>
      <c r="S6" s="40">
        <f>General!S20</f>
        <v>0.55555555555555558</v>
      </c>
      <c r="T6" s="40">
        <f>General!T20</f>
        <v>0.64444444444444449</v>
      </c>
      <c r="U6" s="40">
        <f>General!U20</f>
        <v>0.73333333333333339</v>
      </c>
      <c r="V6" s="40">
        <f>General!V20</f>
        <v>0.8222222222222223</v>
      </c>
      <c r="W6" s="40">
        <f>General!W20</f>
        <v>0.9111111111111112</v>
      </c>
      <c r="X6" s="40">
        <f>General!X20</f>
        <v>1</v>
      </c>
      <c r="Y6" s="40">
        <f>General!Y20</f>
        <v>1</v>
      </c>
      <c r="Z6" s="40">
        <f>General!Z20</f>
        <v>1</v>
      </c>
      <c r="AA6" s="40">
        <f>General!AA20</f>
        <v>1</v>
      </c>
      <c r="AB6" s="40">
        <f>General!AB20</f>
        <v>1</v>
      </c>
      <c r="AC6" s="40">
        <f>General!AC20</f>
        <v>1</v>
      </c>
      <c r="AD6" s="40">
        <f>General!AD20</f>
        <v>1</v>
      </c>
      <c r="AE6" s="40">
        <f>General!AE20</f>
        <v>1</v>
      </c>
      <c r="AF6" s="40">
        <f>General!AF20</f>
        <v>1</v>
      </c>
      <c r="AG6" s="40">
        <f>General!AG20</f>
        <v>1</v>
      </c>
      <c r="AH6" s="40">
        <f>General!AH20</f>
        <v>1</v>
      </c>
      <c r="AI6" s="40">
        <f>General!AI20</f>
        <v>1</v>
      </c>
      <c r="AJ6" s="40">
        <f>General!AJ20</f>
        <v>1</v>
      </c>
      <c r="AK6" s="40">
        <f>General!AK20</f>
        <v>1</v>
      </c>
      <c r="AL6" s="40">
        <f>General!AL20</f>
        <v>1</v>
      </c>
      <c r="AM6" s="40">
        <f>General!AM20</f>
        <v>1</v>
      </c>
      <c r="AN6" s="40">
        <f>General!AN20</f>
        <v>1</v>
      </c>
      <c r="AO6" s="40">
        <f>General!AO20</f>
        <v>1</v>
      </c>
      <c r="AP6" s="40">
        <f>General!AP20</f>
        <v>1</v>
      </c>
      <c r="AQ6" s="40">
        <f>General!AQ20</f>
        <v>1</v>
      </c>
      <c r="AR6" s="40">
        <f>General!AR20</f>
        <v>1</v>
      </c>
    </row>
    <row r="7" spans="1:44" x14ac:dyDescent="0.25">
      <c r="F7" t="str">
        <f>General!F21</f>
        <v>Benefit year</v>
      </c>
      <c r="H7" s="11" t="str">
        <f>General!H11</f>
        <v>years</v>
      </c>
      <c r="N7" s="22">
        <f>General!N21</f>
        <v>0</v>
      </c>
      <c r="O7" s="22">
        <f>General!O21</f>
        <v>1</v>
      </c>
      <c r="P7" s="22">
        <f>General!P21</f>
        <v>2</v>
      </c>
      <c r="Q7" s="22">
        <f>General!Q21</f>
        <v>3</v>
      </c>
      <c r="R7" s="22">
        <f>General!R21</f>
        <v>4</v>
      </c>
      <c r="S7" s="22">
        <f>General!S21</f>
        <v>5</v>
      </c>
      <c r="T7" s="22">
        <f>General!T21</f>
        <v>6</v>
      </c>
      <c r="U7" s="22">
        <f>General!U21</f>
        <v>7</v>
      </c>
      <c r="V7" s="22">
        <f>General!V21</f>
        <v>8</v>
      </c>
      <c r="W7" s="22">
        <f>General!W21</f>
        <v>9</v>
      </c>
      <c r="X7" s="22">
        <f>General!X21</f>
        <v>10</v>
      </c>
      <c r="Y7" s="22">
        <f>General!Y21</f>
        <v>11</v>
      </c>
      <c r="Z7" s="22">
        <f>General!Z21</f>
        <v>12</v>
      </c>
      <c r="AA7" s="22">
        <f>General!AA21</f>
        <v>13</v>
      </c>
      <c r="AB7" s="22">
        <f>General!AB21</f>
        <v>14</v>
      </c>
      <c r="AC7" s="22">
        <f>General!AC21</f>
        <v>15</v>
      </c>
      <c r="AD7" s="22">
        <f>General!AD21</f>
        <v>16</v>
      </c>
      <c r="AE7" s="22">
        <f>General!AE21</f>
        <v>17</v>
      </c>
      <c r="AF7" s="22">
        <f>General!AF21</f>
        <v>18</v>
      </c>
      <c r="AG7" s="22">
        <f>General!AG21</f>
        <v>19</v>
      </c>
      <c r="AH7" s="22">
        <f>General!AH21</f>
        <v>20</v>
      </c>
      <c r="AI7" s="22">
        <f>General!AI21</f>
        <v>21</v>
      </c>
      <c r="AJ7" s="22">
        <f>General!AJ21</f>
        <v>22</v>
      </c>
      <c r="AK7" s="22">
        <f>General!AK21</f>
        <v>23</v>
      </c>
      <c r="AL7" s="22">
        <f>General!AL21</f>
        <v>24</v>
      </c>
      <c r="AM7" s="22">
        <f>General!AM21</f>
        <v>25</v>
      </c>
      <c r="AN7" s="22">
        <f>General!AN21</f>
        <v>26</v>
      </c>
      <c r="AO7" s="22">
        <f>General!AO21</f>
        <v>27</v>
      </c>
      <c r="AP7" s="22">
        <f>General!AP21</f>
        <v>28</v>
      </c>
      <c r="AQ7" s="22">
        <f>General!AQ21</f>
        <v>29</v>
      </c>
      <c r="AR7" s="22">
        <f>General!AR21</f>
        <v>30</v>
      </c>
    </row>
    <row r="8" spans="1:44" x14ac:dyDescent="0.25">
      <c r="F8" t="str">
        <f>General!F24</f>
        <v>Discount factor (10%)</v>
      </c>
      <c r="H8" s="11" t="str">
        <f>General!H24</f>
        <v>#</v>
      </c>
      <c r="J8">
        <f>General!J24</f>
        <v>0</v>
      </c>
      <c r="K8">
        <f>General!K24</f>
        <v>0</v>
      </c>
      <c r="L8">
        <f>General!L24</f>
        <v>0</v>
      </c>
      <c r="M8">
        <f>General!M24</f>
        <v>0</v>
      </c>
      <c r="N8" s="27">
        <f>General!N24</f>
        <v>1</v>
      </c>
      <c r="O8" s="27">
        <f>General!O24</f>
        <v>0.90909090909090906</v>
      </c>
      <c r="P8" s="27">
        <f>General!P24</f>
        <v>0.82644628099173545</v>
      </c>
      <c r="Q8" s="27">
        <f>General!Q24</f>
        <v>0.75131480090157754</v>
      </c>
      <c r="R8" s="27">
        <f>General!R24</f>
        <v>0.68301345536507052</v>
      </c>
      <c r="S8" s="27">
        <f>General!S24</f>
        <v>0.62092132305915493</v>
      </c>
      <c r="T8" s="27">
        <f>General!T24</f>
        <v>0.56447393005377722</v>
      </c>
      <c r="U8" s="27">
        <f>General!U24</f>
        <v>0.51315811823070645</v>
      </c>
      <c r="V8" s="27">
        <f>General!V24</f>
        <v>0.46650738020973315</v>
      </c>
      <c r="W8" s="27">
        <f>General!W24</f>
        <v>0.42409761837248466</v>
      </c>
      <c r="X8" s="27">
        <f>General!X24</f>
        <v>0.38554328942953148</v>
      </c>
      <c r="Y8" s="27">
        <f>General!Y24</f>
        <v>0.3504938994813922</v>
      </c>
      <c r="Z8" s="27">
        <f>General!Z24</f>
        <v>0.31863081771035656</v>
      </c>
      <c r="AA8" s="27">
        <f>General!AA24</f>
        <v>0.28966437973668779</v>
      </c>
      <c r="AB8" s="27">
        <f>General!AB24</f>
        <v>0.26333125430607973</v>
      </c>
      <c r="AC8" s="27">
        <f>General!AC24</f>
        <v>0.23939204936916339</v>
      </c>
      <c r="AD8" s="27">
        <f>General!AD24</f>
        <v>0.21762913579014853</v>
      </c>
      <c r="AE8" s="27">
        <f>General!AE24</f>
        <v>0.19784466890013502</v>
      </c>
      <c r="AF8" s="27">
        <f>General!AF24</f>
        <v>0.17985878990921364</v>
      </c>
      <c r="AG8" s="27">
        <f>General!AG24</f>
        <v>0.16350799082655781</v>
      </c>
      <c r="AH8" s="27">
        <f>General!AH24</f>
        <v>0.14864362802414349</v>
      </c>
      <c r="AI8" s="27">
        <f>General!AI24</f>
        <v>0.13513057093103953</v>
      </c>
      <c r="AJ8" s="27">
        <f>General!AJ24</f>
        <v>0.12284597357367227</v>
      </c>
      <c r="AK8" s="27">
        <f>General!AK24</f>
        <v>0.11167815779424752</v>
      </c>
      <c r="AL8" s="27">
        <f>General!AL24</f>
        <v>0.10152559799477048</v>
      </c>
      <c r="AM8" s="27">
        <f>General!AM24</f>
        <v>9.2295998177064048E-2</v>
      </c>
      <c r="AN8" s="27">
        <f>General!AN24</f>
        <v>8.3905452888240042E-2</v>
      </c>
      <c r="AO8" s="27">
        <f>General!AO24</f>
        <v>7.6277684443854576E-2</v>
      </c>
      <c r="AP8" s="27">
        <f>General!AP24</f>
        <v>6.9343349494413245E-2</v>
      </c>
      <c r="AQ8" s="27">
        <f>General!AQ24</f>
        <v>6.3039408631284766E-2</v>
      </c>
      <c r="AR8" s="27">
        <f>General!AR24</f>
        <v>5.7308553301167964E-2</v>
      </c>
    </row>
    <row r="9" spans="1:44" x14ac:dyDescent="0.25">
      <c r="H9" s="11"/>
    </row>
    <row r="10" spans="1:44" s="13" customFormat="1" x14ac:dyDescent="0.25">
      <c r="A10" s="12"/>
      <c r="B10" s="12"/>
      <c r="C10" s="12"/>
      <c r="D10" s="13" t="s">
        <v>474</v>
      </c>
    </row>
    <row r="11" spans="1:44" ht="11.25" customHeight="1" outlineLevel="1" x14ac:dyDescent="0.25"/>
    <row r="12" spans="1:44" ht="11.25" customHeight="1" outlineLevel="1" thickBot="1" x14ac:dyDescent="0.3">
      <c r="E12" s="1" t="s">
        <v>43</v>
      </c>
      <c r="F12" s="1"/>
    </row>
    <row r="13" spans="1:44" ht="11.25" customHeight="1" outlineLevel="1" x14ac:dyDescent="0.25"/>
    <row r="14" spans="1:44" ht="11.25" customHeight="1" outlineLevel="1" x14ac:dyDescent="0.25">
      <c r="F14" s="24" t="s">
        <v>473</v>
      </c>
      <c r="H14" s="23" t="s">
        <v>45</v>
      </c>
    </row>
    <row r="15" spans="1:44" ht="11.25" customHeight="1" outlineLevel="1" x14ac:dyDescent="0.35">
      <c r="A15" s="3"/>
      <c r="B15" s="3"/>
      <c r="C15" s="3"/>
      <c r="D15" s="3"/>
      <c r="E15" s="3"/>
      <c r="F15" t="s">
        <v>68</v>
      </c>
      <c r="H15" s="22">
        <f>SUM(N15:AT15)</f>
        <v>189795000</v>
      </c>
      <c r="N15" s="22">
        <f>CAPEX!N19</f>
        <v>18979500</v>
      </c>
      <c r="O15" s="22">
        <f>CAPEX!O19</f>
        <v>18979500</v>
      </c>
      <c r="P15" s="22">
        <f>CAPEX!P19</f>
        <v>18979500</v>
      </c>
      <c r="Q15" s="22">
        <f>CAPEX!Q19</f>
        <v>18979500</v>
      </c>
      <c r="R15" s="22">
        <f>CAPEX!R19</f>
        <v>18979500</v>
      </c>
      <c r="S15" s="22">
        <f>CAPEX!S19</f>
        <v>18979500</v>
      </c>
      <c r="T15" s="22">
        <f>CAPEX!T19</f>
        <v>18979500</v>
      </c>
      <c r="U15" s="22">
        <f>CAPEX!U19</f>
        <v>18979500</v>
      </c>
      <c r="V15" s="22">
        <f>CAPEX!V19</f>
        <v>18979500</v>
      </c>
      <c r="W15" s="22">
        <f>CAPEX!W19</f>
        <v>18979500</v>
      </c>
      <c r="X15" s="22">
        <f>CAPEX!X19</f>
        <v>0</v>
      </c>
      <c r="Y15" s="22">
        <f>CAPEX!Y19</f>
        <v>0</v>
      </c>
      <c r="Z15" s="22">
        <f>CAPEX!Z19</f>
        <v>0</v>
      </c>
      <c r="AA15" s="22">
        <f>CAPEX!AA19</f>
        <v>0</v>
      </c>
      <c r="AB15" s="22">
        <f>CAPEX!AB19</f>
        <v>0</v>
      </c>
      <c r="AC15" s="22">
        <f>CAPEX!AC19</f>
        <v>0</v>
      </c>
      <c r="AD15" s="22">
        <f>CAPEX!AD19</f>
        <v>0</v>
      </c>
      <c r="AE15" s="22">
        <f>CAPEX!AE19</f>
        <v>0</v>
      </c>
      <c r="AF15" s="22">
        <f>CAPEX!AF19</f>
        <v>0</v>
      </c>
      <c r="AG15" s="22">
        <f>CAPEX!AG19</f>
        <v>0</v>
      </c>
      <c r="AH15" s="22">
        <f>CAPEX!AH19</f>
        <v>0</v>
      </c>
      <c r="AI15" s="22">
        <f>CAPEX!AI19</f>
        <v>0</v>
      </c>
      <c r="AJ15" s="22">
        <f>CAPEX!AJ19</f>
        <v>0</v>
      </c>
      <c r="AK15" s="22">
        <f>CAPEX!AK19</f>
        <v>0</v>
      </c>
      <c r="AL15" s="22">
        <f>CAPEX!AL19</f>
        <v>0</v>
      </c>
      <c r="AM15" s="22">
        <f>CAPEX!AM19</f>
        <v>0</v>
      </c>
      <c r="AN15" s="22">
        <f>CAPEX!AN19</f>
        <v>0</v>
      </c>
      <c r="AO15" s="22">
        <f>CAPEX!AO19</f>
        <v>0</v>
      </c>
      <c r="AP15" s="22">
        <f>CAPEX!AP19</f>
        <v>0</v>
      </c>
      <c r="AQ15" s="22">
        <f>CAPEX!AQ19</f>
        <v>0</v>
      </c>
      <c r="AR15" s="22">
        <f>CAPEX!AR19</f>
        <v>0</v>
      </c>
    </row>
    <row r="16" spans="1:44" ht="11.25" customHeight="1" outlineLevel="1" x14ac:dyDescent="0.35">
      <c r="A16" s="3"/>
      <c r="B16" s="3"/>
      <c r="C16" s="3"/>
      <c r="D16" s="3"/>
      <c r="E16" s="3"/>
      <c r="F16" t="s">
        <v>69</v>
      </c>
      <c r="H16" s="22">
        <f>SUM(N16:AT16)</f>
        <v>96795450</v>
      </c>
      <c r="N16" s="22">
        <f>OPEX!N19</f>
        <v>0</v>
      </c>
      <c r="O16" s="22">
        <f>OPEX!O19</f>
        <v>379590</v>
      </c>
      <c r="P16" s="22">
        <f>OPEX!P19</f>
        <v>759180</v>
      </c>
      <c r="Q16" s="22">
        <f>OPEX!Q19</f>
        <v>1138770</v>
      </c>
      <c r="R16" s="22">
        <f>OPEX!R19</f>
        <v>1518360</v>
      </c>
      <c r="S16" s="22">
        <f>OPEX!S19</f>
        <v>1897950</v>
      </c>
      <c r="T16" s="22">
        <f>OPEX!T19</f>
        <v>2277540</v>
      </c>
      <c r="U16" s="22">
        <f>OPEX!U19</f>
        <v>2657130</v>
      </c>
      <c r="V16" s="22">
        <f>OPEX!V19</f>
        <v>3036720</v>
      </c>
      <c r="W16" s="22">
        <f>OPEX!W19</f>
        <v>3416310</v>
      </c>
      <c r="X16" s="22">
        <f>OPEX!X19</f>
        <v>3795900</v>
      </c>
      <c r="Y16" s="22">
        <f>OPEX!Y19</f>
        <v>3795900</v>
      </c>
      <c r="Z16" s="22">
        <f>OPEX!Z19</f>
        <v>3795900</v>
      </c>
      <c r="AA16" s="22">
        <f>OPEX!AA19</f>
        <v>3795900</v>
      </c>
      <c r="AB16" s="22">
        <f>OPEX!AB19</f>
        <v>3795900</v>
      </c>
      <c r="AC16" s="22">
        <f>OPEX!AC19</f>
        <v>3795900</v>
      </c>
      <c r="AD16" s="22">
        <f>OPEX!AD19</f>
        <v>3795900</v>
      </c>
      <c r="AE16" s="22">
        <f>OPEX!AE19</f>
        <v>3795900</v>
      </c>
      <c r="AF16" s="22">
        <f>OPEX!AF19</f>
        <v>3795900</v>
      </c>
      <c r="AG16" s="22">
        <f>OPEX!AG19</f>
        <v>3795900</v>
      </c>
      <c r="AH16" s="22">
        <f>OPEX!AH19</f>
        <v>3795900</v>
      </c>
      <c r="AI16" s="22">
        <f>OPEX!AI19</f>
        <v>3795900</v>
      </c>
      <c r="AJ16" s="22">
        <f>OPEX!AJ19</f>
        <v>3795900</v>
      </c>
      <c r="AK16" s="22">
        <f>OPEX!AK19</f>
        <v>3795900</v>
      </c>
      <c r="AL16" s="22">
        <f>OPEX!AL19</f>
        <v>3795900</v>
      </c>
      <c r="AM16" s="22">
        <f>OPEX!AM19</f>
        <v>3795900</v>
      </c>
      <c r="AN16" s="22">
        <f>OPEX!AN19</f>
        <v>3795900</v>
      </c>
      <c r="AO16" s="22">
        <f>OPEX!AO19</f>
        <v>3795900</v>
      </c>
      <c r="AP16" s="22">
        <f>OPEX!AP19</f>
        <v>3795900</v>
      </c>
      <c r="AQ16" s="22">
        <f>OPEX!AQ19</f>
        <v>3795900</v>
      </c>
      <c r="AR16" s="22">
        <f>OPEX!AR19</f>
        <v>3795900</v>
      </c>
    </row>
    <row r="17" spans="1:46" s="24" customFormat="1" ht="11.25" customHeight="1" outlineLevel="1" x14ac:dyDescent="0.35">
      <c r="A17" s="33"/>
      <c r="B17" s="33"/>
      <c r="C17" s="33"/>
      <c r="D17" s="33"/>
      <c r="E17" s="33"/>
      <c r="F17" s="24" t="s">
        <v>46</v>
      </c>
      <c r="H17" s="34">
        <f>SUM(N17:AT17)</f>
        <v>286590450</v>
      </c>
      <c r="N17" s="34">
        <f>SUM(N15:N16)</f>
        <v>18979500</v>
      </c>
      <c r="O17" s="34">
        <f t="shared" ref="O17:AR17" si="0">SUM(O15:O16)</f>
        <v>19359090</v>
      </c>
      <c r="P17" s="34">
        <f t="shared" si="0"/>
        <v>19738680</v>
      </c>
      <c r="Q17" s="34">
        <f t="shared" si="0"/>
        <v>20118270</v>
      </c>
      <c r="R17" s="34">
        <f t="shared" si="0"/>
        <v>20497860</v>
      </c>
      <c r="S17" s="34">
        <f t="shared" si="0"/>
        <v>20877450</v>
      </c>
      <c r="T17" s="34">
        <f t="shared" si="0"/>
        <v>21257040</v>
      </c>
      <c r="U17" s="34">
        <f t="shared" si="0"/>
        <v>21636630</v>
      </c>
      <c r="V17" s="34">
        <f t="shared" si="0"/>
        <v>22016220</v>
      </c>
      <c r="W17" s="34">
        <f t="shared" si="0"/>
        <v>22395810</v>
      </c>
      <c r="X17" s="34">
        <f t="shared" si="0"/>
        <v>3795900</v>
      </c>
      <c r="Y17" s="34">
        <f t="shared" si="0"/>
        <v>3795900</v>
      </c>
      <c r="Z17" s="34">
        <f t="shared" si="0"/>
        <v>3795900</v>
      </c>
      <c r="AA17" s="34">
        <f t="shared" si="0"/>
        <v>3795900</v>
      </c>
      <c r="AB17" s="34">
        <f t="shared" si="0"/>
        <v>3795900</v>
      </c>
      <c r="AC17" s="34">
        <f t="shared" si="0"/>
        <v>3795900</v>
      </c>
      <c r="AD17" s="34">
        <f t="shared" si="0"/>
        <v>3795900</v>
      </c>
      <c r="AE17" s="34">
        <f t="shared" si="0"/>
        <v>3795900</v>
      </c>
      <c r="AF17" s="34">
        <f t="shared" si="0"/>
        <v>3795900</v>
      </c>
      <c r="AG17" s="34">
        <f t="shared" si="0"/>
        <v>3795900</v>
      </c>
      <c r="AH17" s="34">
        <f t="shared" si="0"/>
        <v>3795900</v>
      </c>
      <c r="AI17" s="34">
        <f t="shared" si="0"/>
        <v>3795900</v>
      </c>
      <c r="AJ17" s="34">
        <f t="shared" si="0"/>
        <v>3795900</v>
      </c>
      <c r="AK17" s="34">
        <f t="shared" si="0"/>
        <v>3795900</v>
      </c>
      <c r="AL17" s="34">
        <f t="shared" si="0"/>
        <v>3795900</v>
      </c>
      <c r="AM17" s="34">
        <f t="shared" si="0"/>
        <v>3795900</v>
      </c>
      <c r="AN17" s="34">
        <f t="shared" si="0"/>
        <v>3795900</v>
      </c>
      <c r="AO17" s="34">
        <f t="shared" si="0"/>
        <v>3795900</v>
      </c>
      <c r="AP17" s="34">
        <f t="shared" si="0"/>
        <v>3795900</v>
      </c>
      <c r="AQ17" s="34">
        <f t="shared" si="0"/>
        <v>3795900</v>
      </c>
      <c r="AR17" s="34">
        <f t="shared" si="0"/>
        <v>3795900</v>
      </c>
      <c r="AS17"/>
      <c r="AT17"/>
    </row>
    <row r="18" spans="1:46" ht="11.25" customHeight="1" outlineLevel="1" x14ac:dyDescent="0.35">
      <c r="A18" s="3"/>
      <c r="B18" s="3"/>
      <c r="C18" s="3"/>
      <c r="D18" s="3"/>
      <c r="E18" s="3"/>
      <c r="N18" s="4"/>
      <c r="O18" s="4"/>
    </row>
    <row r="19" spans="1:46" ht="11.25" customHeight="1" outlineLevel="1" x14ac:dyDescent="0.35">
      <c r="A19" s="3"/>
      <c r="B19" s="3"/>
      <c r="C19" s="3"/>
      <c r="D19" s="3"/>
      <c r="E19" s="3"/>
      <c r="F19" s="24" t="s">
        <v>0</v>
      </c>
      <c r="H19" s="23" t="s">
        <v>45</v>
      </c>
    </row>
    <row r="20" spans="1:46" ht="11.25" customHeight="1" outlineLevel="1" x14ac:dyDescent="0.35">
      <c r="A20" s="3"/>
      <c r="B20" s="3"/>
      <c r="C20" s="3"/>
      <c r="D20" s="3"/>
      <c r="E20" s="3"/>
      <c r="F20" t="s">
        <v>470</v>
      </c>
      <c r="H20" s="22">
        <f>SUM(N20:AT20)</f>
        <v>541705805.97889411</v>
      </c>
      <c r="N20" s="22">
        <f>Benefits!N34*N$6</f>
        <v>0</v>
      </c>
      <c r="O20" s="22">
        <f>Benefits!O34*O$6</f>
        <v>3100514.1130233561</v>
      </c>
      <c r="P20" s="22">
        <f>Benefits!P34*P$6</f>
        <v>4566897.7395945806</v>
      </c>
      <c r="Q20" s="22">
        <f>Benefits!Q34*Q$6</f>
        <v>6087714.8600258855</v>
      </c>
      <c r="R20" s="22">
        <f>Benefits!R34*R$6</f>
        <v>7662996.4230213994</v>
      </c>
      <c r="S20" s="22">
        <f>Benefits!S34*S$6</f>
        <v>9292771.6198977996</v>
      </c>
      <c r="T20" s="22">
        <f>Benefits!T34*T$6</f>
        <v>10977068.007577365</v>
      </c>
      <c r="U20" s="22">
        <f>Benefits!U34*U$6</f>
        <v>12715911.621394299</v>
      </c>
      <c r="V20" s="22">
        <f>Benefits!V34*V$6</f>
        <v>14509327.078685086</v>
      </c>
      <c r="W20" s="22">
        <f>Benefits!W34*W$6</f>
        <v>16357337.674029633</v>
      </c>
      <c r="X20" s="22">
        <f>Benefits!X34*X$6</f>
        <v>18300610.304722264</v>
      </c>
      <c r="Y20" s="22">
        <f>Benefits!Y34*Y$6</f>
        <v>18648286.270124789</v>
      </c>
      <c r="Z20" s="22">
        <f>Benefits!Z34*Z$6</f>
        <v>18996194.101183493</v>
      </c>
      <c r="AA20" s="22">
        <f>Benefits!AA34*AA$6</f>
        <v>19344324.978198022</v>
      </c>
      <c r="AB20" s="22">
        <f>Benefits!AB34*AB$6</f>
        <v>19692670.523178816</v>
      </c>
      <c r="AC20" s="22">
        <f>Benefits!AC34*AC$6</f>
        <v>20041222.772536706</v>
      </c>
      <c r="AD20" s="22">
        <f>Benefits!AD34*AD$6</f>
        <v>20389974.15177406</v>
      </c>
      <c r="AE20" s="22">
        <f>Benefits!AE34*AE$6</f>
        <v>20738917.452008273</v>
      </c>
      <c r="AF20" s="22">
        <f>Benefits!AF34*AF$6</f>
        <v>21088045.808174964</v>
      </c>
      <c r="AG20" s="22">
        <f>Benefits!AG34*AG$6</f>
        <v>21437352.678771965</v>
      </c>
      <c r="AH20" s="22">
        <f>Benefits!AH34*AH$6</f>
        <v>21774881.896345593</v>
      </c>
      <c r="AI20" s="22">
        <f>Benefits!AI34*AI$6</f>
        <v>22112449.269779846</v>
      </c>
      <c r="AJ20" s="22">
        <f>Benefits!AJ34*AJ$6</f>
        <v>22450053.30592192</v>
      </c>
      <c r="AK20" s="22">
        <f>Benefits!AK34*AK$6</f>
        <v>22787692.588524494</v>
      </c>
      <c r="AL20" s="22">
        <f>Benefits!AL34*AL$6</f>
        <v>23125365.773357421</v>
      </c>
      <c r="AM20" s="22">
        <f>Benefits!AM34*AM$6</f>
        <v>23463071.583687495</v>
      </c>
      <c r="AN20" s="22">
        <f>Benefits!AN34*AN$6</f>
        <v>23800808.806094546</v>
      </c>
      <c r="AO20" s="22">
        <f>Benefits!AO34*AO$6</f>
        <v>24138576.286594875</v>
      </c>
      <c r="AP20" s="22">
        <f>Benefits!AP34*AP$6</f>
        <v>24476372.927046016</v>
      </c>
      <c r="AQ20" s="22">
        <f>Benefits!AQ34*AQ$6</f>
        <v>24814197.681809597</v>
      </c>
      <c r="AR20" s="22">
        <f>Benefits!AR34*AR$6</f>
        <v>24814197.681809597</v>
      </c>
    </row>
    <row r="21" spans="1:46" ht="11.25" customHeight="1" outlineLevel="1" x14ac:dyDescent="0.35">
      <c r="A21" s="3"/>
      <c r="B21" s="3"/>
      <c r="C21" s="3"/>
      <c r="D21" s="3"/>
      <c r="E21" s="3"/>
      <c r="F21" t="s">
        <v>471</v>
      </c>
      <c r="H21" s="22">
        <f>SUM(N21:AT21)</f>
        <v>34917711.515387654</v>
      </c>
      <c r="N21" s="22">
        <f>Benefits!N40*N$6</f>
        <v>0</v>
      </c>
      <c r="O21" s="22">
        <f>Benefits!O40*O$6</f>
        <v>198996.43863032275</v>
      </c>
      <c r="P21" s="22">
        <f>Benefits!P40*P$6</f>
        <v>293223.16695433663</v>
      </c>
      <c r="Q21" s="22">
        <f>Benefits!Q40*Q$6</f>
        <v>391012.44560670352</v>
      </c>
      <c r="R21" s="22">
        <f>Benefits!R40*R$6</f>
        <v>492366.3912561785</v>
      </c>
      <c r="S21" s="22">
        <f>Benefits!S40*S$6</f>
        <v>597286.99864803324</v>
      </c>
      <c r="T21" s="22">
        <f>Benefits!T40*T$6</f>
        <v>705776.14925816481</v>
      </c>
      <c r="U21" s="22">
        <f>Benefits!U40*U$6</f>
        <v>817835.61922040442</v>
      </c>
      <c r="V21" s="22">
        <f>Benefits!V40*V$6</f>
        <v>933467.08659725043</v>
      </c>
      <c r="W21" s="22">
        <f>Benefits!W40*W$6</f>
        <v>1052672.1380566075</v>
      </c>
      <c r="X21" s="22">
        <f>Benefits!X40*X$6</f>
        <v>1175452.2750103897</v>
      </c>
      <c r="Y21" s="22">
        <f>Benefits!Y40*Y$6</f>
        <v>1198199.9519635709</v>
      </c>
      <c r="Z21" s="22">
        <f>Benefits!Z40*Z$6</f>
        <v>1220963.4182145684</v>
      </c>
      <c r="AA21" s="22">
        <f>Benefits!AA40*AA$6</f>
        <v>1243742.0654575359</v>
      </c>
      <c r="AB21" s="22">
        <f>Benefits!AB40*AB$6</f>
        <v>1266535.316238259</v>
      </c>
      <c r="AC21" s="22">
        <f>Benefits!AC40*AC$6</f>
        <v>1289342.6220227559</v>
      </c>
      <c r="AD21" s="22">
        <f>Benefits!AD40*AD$6</f>
        <v>1312163.4614091711</v>
      </c>
      <c r="AE21" s="22">
        <f>Benefits!AE40*AE$6</f>
        <v>1334997.3384707239</v>
      </c>
      <c r="AF21" s="22">
        <f>Benefits!AF40*AF$6</f>
        <v>1357843.7812186349</v>
      </c>
      <c r="AG21" s="22">
        <f>Benefits!AG40*AG$6</f>
        <v>1380702.3401750042</v>
      </c>
      <c r="AH21" s="22">
        <f>Benefits!AH40*AH$6</f>
        <v>1403572.5870466004</v>
      </c>
      <c r="AI21" s="22">
        <f>Benefits!AI40*AI$6</f>
        <v>1425671.7130073695</v>
      </c>
      <c r="AJ21" s="22">
        <f>Benefits!AJ40*AJ$6</f>
        <v>1447773.337155337</v>
      </c>
      <c r="AK21" s="22">
        <f>Benefits!AK40*AK$6</f>
        <v>1469877.3617289751</v>
      </c>
      <c r="AL21" s="22">
        <f>Benefits!AL40*AL$6</f>
        <v>1491983.6940020048</v>
      </c>
      <c r="AM21" s="22">
        <f>Benefits!AM40*AM$6</f>
        <v>1514092.2459633448</v>
      </c>
      <c r="AN21" s="22">
        <f>Benefits!AN40*AN$6</f>
        <v>1536202.9340211577</v>
      </c>
      <c r="AO21" s="22">
        <f>Benefits!AO40*AO$6</f>
        <v>1558315.6787289134</v>
      </c>
      <c r="AP21" s="22">
        <f>Benefits!AP40*AP$6</f>
        <v>1580430.4045315776</v>
      </c>
      <c r="AQ21" s="22">
        <f>Benefits!AQ40*AQ$6</f>
        <v>1602547.0395302246</v>
      </c>
      <c r="AR21" s="22">
        <f>Benefits!AR40*AR$6</f>
        <v>1624665.5152635379</v>
      </c>
    </row>
    <row r="22" spans="1:46" ht="11.25" customHeight="1" outlineLevel="1" x14ac:dyDescent="0.35">
      <c r="A22" s="3"/>
      <c r="B22" s="3"/>
      <c r="C22" s="3"/>
      <c r="D22" s="3"/>
      <c r="E22" s="3"/>
      <c r="F22" t="s">
        <v>472</v>
      </c>
      <c r="H22" s="22">
        <f>SUM(N22:AT22)</f>
        <v>296541830.1650421</v>
      </c>
      <c r="N22" s="22">
        <f>Benefits!N46*'10%'!N$6</f>
        <v>0</v>
      </c>
      <c r="O22" s="22">
        <f>Benefits!O46*'10%'!O$6</f>
        <v>1697290.5207597339</v>
      </c>
      <c r="P22" s="22">
        <f>Benefits!P46*'10%'!P$6</f>
        <v>2500021.5964617813</v>
      </c>
      <c r="Q22" s="22">
        <f>Benefits!Q46*'10%'!Q$6</f>
        <v>3332550.7797591072</v>
      </c>
      <c r="R22" s="22">
        <f>Benefits!R46*'10%'!R$6</f>
        <v>4194895.0126620466</v>
      </c>
      <c r="S22" s="22">
        <f>Benefits!S46*'10%'!S$6</f>
        <v>5087070.2751478786</v>
      </c>
      <c r="T22" s="22">
        <f>Benefits!T46*'10%'!T$6</f>
        <v>6009091.6524899686</v>
      </c>
      <c r="U22" s="22">
        <f>Benefits!U46*'10%'!U$6</f>
        <v>6960973.3970104624</v>
      </c>
      <c r="V22" s="22">
        <f>Benefits!V46*'10%'!V$6</f>
        <v>7942728.9847879466</v>
      </c>
      <c r="W22" s="22">
        <f>Benefits!W46*'10%'!W$6</f>
        <v>8954371.1677945908</v>
      </c>
      <c r="X22" s="22">
        <f>Benefits!X46*'10%'!X$6</f>
        <v>10018161.911875483</v>
      </c>
      <c r="Y22" s="22">
        <f>Benefits!Y46*'10%'!Y$6</f>
        <v>10208487.483333141</v>
      </c>
      <c r="Z22" s="22">
        <f>Benefits!Z46*'10%'!Z$6</f>
        <v>10398939.983218145</v>
      </c>
      <c r="AA22" s="22">
        <f>Benefits!AA46*'10%'!AA$6</f>
        <v>10589514.583429962</v>
      </c>
      <c r="AB22" s="22">
        <f>Benefits!AB46*'10%'!AB$6</f>
        <v>10780206.697670411</v>
      </c>
      <c r="AC22" s="22">
        <f>Benefits!AC46*'10%'!AC$6</f>
        <v>10971011.966493323</v>
      </c>
      <c r="AD22" s="22">
        <f>Benefits!AD46*'10%'!AD$6</f>
        <v>11161926.243449878</v>
      </c>
      <c r="AE22" s="22">
        <f>Benefits!AE46*'10%'!AE$6</f>
        <v>11352945.582237087</v>
      </c>
      <c r="AF22" s="22">
        <f>Benefits!AF46*'10%'!AF$6</f>
        <v>11544066.224765718</v>
      </c>
      <c r="AG22" s="22">
        <f>Benefits!AG46*'10%'!AG$6</f>
        <v>11735284.59007173</v>
      </c>
      <c r="AH22" s="22">
        <f>Benefits!AH46*'10%'!AH$6</f>
        <v>11920055.605646476</v>
      </c>
      <c r="AI22" s="22">
        <f>Benefits!AI46*'10%'!AI$6</f>
        <v>12104847.508589648</v>
      </c>
      <c r="AJ22" s="22">
        <f>Benefits!AJ46*'10%'!AJ$6</f>
        <v>12289659.481516108</v>
      </c>
      <c r="AK22" s="22">
        <f>Benefits!AK46*'10%'!AK$6</f>
        <v>12474490.749140508</v>
      </c>
      <c r="AL22" s="22">
        <f>Benefits!AL46*'10%'!AL$6</f>
        <v>12659340.575601324</v>
      </c>
      <c r="AM22" s="22">
        <f>Benefits!AM46*'10%'!AM$6</f>
        <v>12844208.261986345</v>
      </c>
      <c r="AN22" s="22">
        <f>Benefits!AN46*'10%'!AN$6</f>
        <v>13029093.144042321</v>
      </c>
      <c r="AO22" s="22">
        <f>Benefits!AO46*'10%'!AO$6</f>
        <v>13213994.590052847</v>
      </c>
      <c r="AP22" s="22">
        <f>Benefits!AP46*'10%'!AP$6</f>
        <v>13398911.998870298</v>
      </c>
      <c r="AQ22" s="22">
        <f>Benefits!AQ46*'10%'!AQ$6</f>
        <v>13583844.798088901</v>
      </c>
      <c r="AR22" s="22">
        <f>Benefits!AR46*'10%'!AR$6</f>
        <v>13583844.798088901</v>
      </c>
    </row>
    <row r="23" spans="1:46" s="24" customFormat="1" ht="11.25" customHeight="1" outlineLevel="1" x14ac:dyDescent="0.35">
      <c r="A23" s="33"/>
      <c r="B23" s="33"/>
      <c r="C23" s="33"/>
      <c r="D23" s="33"/>
      <c r="E23" s="33"/>
      <c r="F23" s="24" t="s">
        <v>67</v>
      </c>
      <c r="H23" s="34">
        <f t="shared" ref="H23" si="1">SUM(N23:AT23)</f>
        <v>873165347.65932393</v>
      </c>
      <c r="N23" s="34">
        <f t="shared" ref="N23:AR23" si="2">SUM(N20:N22)</f>
        <v>0</v>
      </c>
      <c r="O23" s="34">
        <f t="shared" si="2"/>
        <v>4996801.0724134129</v>
      </c>
      <c r="P23" s="34">
        <f t="shared" si="2"/>
        <v>7360142.5030106986</v>
      </c>
      <c r="Q23" s="34">
        <f t="shared" si="2"/>
        <v>9811278.0853916965</v>
      </c>
      <c r="R23" s="34">
        <f t="shared" si="2"/>
        <v>12350257.826939624</v>
      </c>
      <c r="S23" s="34">
        <f t="shared" si="2"/>
        <v>14977128.893693712</v>
      </c>
      <c r="T23" s="34">
        <f t="shared" si="2"/>
        <v>17691935.809325498</v>
      </c>
      <c r="U23" s="34">
        <f t="shared" si="2"/>
        <v>20494720.637625165</v>
      </c>
      <c r="V23" s="34">
        <f t="shared" si="2"/>
        <v>23385523.150070284</v>
      </c>
      <c r="W23" s="34">
        <f t="shared" si="2"/>
        <v>26364380.979880832</v>
      </c>
      <c r="X23" s="34">
        <f t="shared" si="2"/>
        <v>29494224.491608135</v>
      </c>
      <c r="Y23" s="34">
        <f t="shared" si="2"/>
        <v>30054973.7054215</v>
      </c>
      <c r="Z23" s="34">
        <f t="shared" si="2"/>
        <v>30616097.502616204</v>
      </c>
      <c r="AA23" s="34">
        <f t="shared" si="2"/>
        <v>31177581.627085522</v>
      </c>
      <c r="AB23" s="34">
        <f t="shared" si="2"/>
        <v>31739412.537087485</v>
      </c>
      <c r="AC23" s="34">
        <f t="shared" si="2"/>
        <v>32301577.361052785</v>
      </c>
      <c r="AD23" s="34">
        <f t="shared" si="2"/>
        <v>32864063.856633108</v>
      </c>
      <c r="AE23" s="34">
        <f t="shared" si="2"/>
        <v>33426860.372716084</v>
      </c>
      <c r="AF23" s="34">
        <f t="shared" si="2"/>
        <v>33989955.814159319</v>
      </c>
      <c r="AG23" s="34">
        <f t="shared" si="2"/>
        <v>34553339.609018698</v>
      </c>
      <c r="AH23" s="34">
        <f t="shared" si="2"/>
        <v>35098510.08903867</v>
      </c>
      <c r="AI23" s="34">
        <f t="shared" si="2"/>
        <v>35642968.491376862</v>
      </c>
      <c r="AJ23" s="34">
        <f t="shared" si="2"/>
        <v>36187486.124593362</v>
      </c>
      <c r="AK23" s="34">
        <f t="shared" si="2"/>
        <v>36732060.699393973</v>
      </c>
      <c r="AL23" s="34">
        <f t="shared" si="2"/>
        <v>37276690.042960748</v>
      </c>
      <c r="AM23" s="34">
        <f t="shared" si="2"/>
        <v>37821372.091637187</v>
      </c>
      <c r="AN23" s="34">
        <f t="shared" si="2"/>
        <v>38366104.884158023</v>
      </c>
      <c r="AO23" s="34">
        <f t="shared" si="2"/>
        <v>38910886.555376634</v>
      </c>
      <c r="AP23" s="34">
        <f t="shared" si="2"/>
        <v>39455715.33044789</v>
      </c>
      <c r="AQ23" s="34">
        <f t="shared" si="2"/>
        <v>40000589.519428723</v>
      </c>
      <c r="AR23" s="34">
        <f t="shared" si="2"/>
        <v>40022707.99516204</v>
      </c>
      <c r="AS23"/>
      <c r="AT23"/>
    </row>
    <row r="24" spans="1:46" ht="11.25" customHeight="1" outlineLevel="1" x14ac:dyDescent="0.25"/>
    <row r="25" spans="1:46" ht="11.25" customHeight="1" outlineLevel="1" thickBot="1" x14ac:dyDescent="0.3">
      <c r="E25" s="1" t="s">
        <v>44</v>
      </c>
      <c r="F25" s="1"/>
    </row>
    <row r="26" spans="1:46" ht="11.25" customHeight="1" outlineLevel="1" x14ac:dyDescent="0.25"/>
    <row r="27" spans="1:46" ht="11.25" customHeight="1" outlineLevel="1" x14ac:dyDescent="0.25">
      <c r="F27" s="24" t="s">
        <v>473</v>
      </c>
      <c r="H27" s="23" t="s">
        <v>86</v>
      </c>
    </row>
    <row r="28" spans="1:46" ht="11.25" customHeight="1" outlineLevel="1" x14ac:dyDescent="0.35">
      <c r="A28" s="3"/>
      <c r="B28" s="3"/>
      <c r="C28" s="3"/>
      <c r="D28" s="3"/>
      <c r="E28" s="3"/>
      <c r="F28" t="s">
        <v>68</v>
      </c>
      <c r="H28" s="22">
        <f>SUM(N28:AT28)</f>
        <v>128282892.52099417</v>
      </c>
      <c r="N28" s="22">
        <f>N15*N$8</f>
        <v>18979500</v>
      </c>
      <c r="O28" s="22">
        <f t="shared" ref="O28:AR29" si="3">O15*O$8</f>
        <v>17254090.90909091</v>
      </c>
      <c r="P28" s="22">
        <f t="shared" si="3"/>
        <v>15685537.190082643</v>
      </c>
      <c r="Q28" s="22">
        <f t="shared" si="3"/>
        <v>14259579.263711492</v>
      </c>
      <c r="R28" s="22">
        <f t="shared" si="3"/>
        <v>12963253.876101356</v>
      </c>
      <c r="S28" s="22">
        <f t="shared" si="3"/>
        <v>11784776.251001231</v>
      </c>
      <c r="T28" s="22">
        <f t="shared" si="3"/>
        <v>10713432.955455665</v>
      </c>
      <c r="U28" s="22">
        <f t="shared" si="3"/>
        <v>9739484.5049596932</v>
      </c>
      <c r="V28" s="22">
        <f t="shared" si="3"/>
        <v>8854076.8226906303</v>
      </c>
      <c r="W28" s="22">
        <f t="shared" si="3"/>
        <v>8049160.7479005726</v>
      </c>
      <c r="X28" s="22">
        <f t="shared" si="3"/>
        <v>0</v>
      </c>
      <c r="Y28" s="22">
        <f t="shared" si="3"/>
        <v>0</v>
      </c>
      <c r="Z28" s="22">
        <f t="shared" si="3"/>
        <v>0</v>
      </c>
      <c r="AA28" s="22">
        <f t="shared" si="3"/>
        <v>0</v>
      </c>
      <c r="AB28" s="22">
        <f t="shared" si="3"/>
        <v>0</v>
      </c>
      <c r="AC28" s="22">
        <f t="shared" si="3"/>
        <v>0</v>
      </c>
      <c r="AD28" s="22">
        <f t="shared" si="3"/>
        <v>0</v>
      </c>
      <c r="AE28" s="22">
        <f t="shared" si="3"/>
        <v>0</v>
      </c>
      <c r="AF28" s="22">
        <f t="shared" si="3"/>
        <v>0</v>
      </c>
      <c r="AG28" s="22">
        <f t="shared" si="3"/>
        <v>0</v>
      </c>
      <c r="AH28" s="22">
        <f t="shared" si="3"/>
        <v>0</v>
      </c>
      <c r="AI28" s="22">
        <f t="shared" si="3"/>
        <v>0</v>
      </c>
      <c r="AJ28" s="22">
        <f t="shared" si="3"/>
        <v>0</v>
      </c>
      <c r="AK28" s="22">
        <f t="shared" si="3"/>
        <v>0</v>
      </c>
      <c r="AL28" s="22">
        <f t="shared" si="3"/>
        <v>0</v>
      </c>
      <c r="AM28" s="22">
        <f t="shared" si="3"/>
        <v>0</v>
      </c>
      <c r="AN28" s="22">
        <f t="shared" si="3"/>
        <v>0</v>
      </c>
      <c r="AO28" s="22">
        <f t="shared" si="3"/>
        <v>0</v>
      </c>
      <c r="AP28" s="22">
        <f t="shared" si="3"/>
        <v>0</v>
      </c>
      <c r="AQ28" s="22">
        <f t="shared" si="3"/>
        <v>0</v>
      </c>
      <c r="AR28" s="22">
        <f t="shared" si="3"/>
        <v>0</v>
      </c>
    </row>
    <row r="29" spans="1:46" ht="11.25" customHeight="1" outlineLevel="1" x14ac:dyDescent="0.35">
      <c r="A29" s="3"/>
      <c r="B29" s="3"/>
      <c r="C29" s="3"/>
      <c r="D29" s="3"/>
      <c r="E29" s="3"/>
      <c r="F29" t="s">
        <v>69</v>
      </c>
      <c r="H29" s="22">
        <f>SUM(N29:AT29)</f>
        <v>23481203.129439786</v>
      </c>
      <c r="N29" s="22">
        <f>N16*N$8</f>
        <v>0</v>
      </c>
      <c r="O29" s="22">
        <f t="shared" si="3"/>
        <v>345081.81818181818</v>
      </c>
      <c r="P29" s="22">
        <f t="shared" si="3"/>
        <v>627421.48760330572</v>
      </c>
      <c r="Q29" s="22">
        <f t="shared" si="3"/>
        <v>855574.75582268951</v>
      </c>
      <c r="R29" s="22">
        <f t="shared" si="3"/>
        <v>1037060.3100881085</v>
      </c>
      <c r="S29" s="22">
        <f t="shared" si="3"/>
        <v>1178477.625100123</v>
      </c>
      <c r="T29" s="22">
        <f t="shared" si="3"/>
        <v>1285611.9546546799</v>
      </c>
      <c r="U29" s="22">
        <f t="shared" si="3"/>
        <v>1363527.8306943569</v>
      </c>
      <c r="V29" s="22">
        <f t="shared" si="3"/>
        <v>1416652.2916305009</v>
      </c>
      <c r="W29" s="22">
        <f t="shared" si="3"/>
        <v>1448848.9346221031</v>
      </c>
      <c r="X29" s="22">
        <f t="shared" si="3"/>
        <v>1463483.7723455585</v>
      </c>
      <c r="Y29" s="22">
        <f t="shared" si="3"/>
        <v>1330439.7930414167</v>
      </c>
      <c r="Z29" s="22">
        <f t="shared" si="3"/>
        <v>1209490.7209467425</v>
      </c>
      <c r="AA29" s="22">
        <f t="shared" si="3"/>
        <v>1099537.0190424933</v>
      </c>
      <c r="AB29" s="22">
        <f t="shared" si="3"/>
        <v>999579.10822044802</v>
      </c>
      <c r="AC29" s="22">
        <f t="shared" si="3"/>
        <v>908708.28020040726</v>
      </c>
      <c r="AD29" s="22">
        <f t="shared" si="3"/>
        <v>826098.43654582486</v>
      </c>
      <c r="AE29" s="22">
        <f t="shared" si="3"/>
        <v>750998.57867802249</v>
      </c>
      <c r="AF29" s="22">
        <f t="shared" si="3"/>
        <v>682725.98061638407</v>
      </c>
      <c r="AG29" s="22">
        <f t="shared" si="3"/>
        <v>620659.98237853078</v>
      </c>
      <c r="AH29" s="22">
        <f t="shared" si="3"/>
        <v>564236.34761684632</v>
      </c>
      <c r="AI29" s="22">
        <f t="shared" si="3"/>
        <v>512942.13419713295</v>
      </c>
      <c r="AJ29" s="22">
        <f t="shared" si="3"/>
        <v>466311.03108830261</v>
      </c>
      <c r="AK29" s="22">
        <f t="shared" si="3"/>
        <v>423919.11917118414</v>
      </c>
      <c r="AL29" s="22">
        <f t="shared" si="3"/>
        <v>385381.0174283493</v>
      </c>
      <c r="AM29" s="22">
        <f t="shared" si="3"/>
        <v>350346.37948031741</v>
      </c>
      <c r="AN29" s="22">
        <f t="shared" si="3"/>
        <v>318496.70861847035</v>
      </c>
      <c r="AO29" s="22">
        <f t="shared" si="3"/>
        <v>289542.46238042758</v>
      </c>
      <c r="AP29" s="22">
        <f t="shared" si="3"/>
        <v>263220.42034584325</v>
      </c>
      <c r="AQ29" s="22">
        <f t="shared" si="3"/>
        <v>239291.29122349384</v>
      </c>
      <c r="AR29" s="22">
        <f t="shared" si="3"/>
        <v>217537.53747590346</v>
      </c>
    </row>
    <row r="30" spans="1:46" s="24" customFormat="1" ht="11.25" customHeight="1" outlineLevel="1" x14ac:dyDescent="0.35">
      <c r="A30" s="33"/>
      <c r="B30" s="33"/>
      <c r="C30" s="33"/>
      <c r="D30" s="33"/>
      <c r="E30" s="33"/>
      <c r="F30" s="24" t="s">
        <v>46</v>
      </c>
      <c r="H30" s="34">
        <f>SUM(N30:AT30)</f>
        <v>151764095.65043399</v>
      </c>
      <c r="N30" s="34">
        <f>SUM(N28:N29)</f>
        <v>18979500</v>
      </c>
      <c r="O30" s="34">
        <f t="shared" ref="O30:AR30" si="4">SUM(O28:O29)</f>
        <v>17599172.727272727</v>
      </c>
      <c r="P30" s="34">
        <f t="shared" si="4"/>
        <v>16312958.677685948</v>
      </c>
      <c r="Q30" s="34">
        <f t="shared" si="4"/>
        <v>15115154.019534182</v>
      </c>
      <c r="R30" s="34">
        <f t="shared" si="4"/>
        <v>14000314.186189465</v>
      </c>
      <c r="S30" s="34">
        <f t="shared" si="4"/>
        <v>12963253.876101354</v>
      </c>
      <c r="T30" s="34">
        <f t="shared" si="4"/>
        <v>11999044.910110345</v>
      </c>
      <c r="U30" s="34">
        <f t="shared" si="4"/>
        <v>11103012.33565405</v>
      </c>
      <c r="V30" s="34">
        <f t="shared" si="4"/>
        <v>10270729.114321131</v>
      </c>
      <c r="W30" s="34">
        <f t="shared" si="4"/>
        <v>9498009.682522675</v>
      </c>
      <c r="X30" s="34">
        <f t="shared" si="4"/>
        <v>1463483.7723455585</v>
      </c>
      <c r="Y30" s="34">
        <f t="shared" si="4"/>
        <v>1330439.7930414167</v>
      </c>
      <c r="Z30" s="34">
        <f t="shared" si="4"/>
        <v>1209490.7209467425</v>
      </c>
      <c r="AA30" s="34">
        <f t="shared" si="4"/>
        <v>1099537.0190424933</v>
      </c>
      <c r="AB30" s="34">
        <f t="shared" si="4"/>
        <v>999579.10822044802</v>
      </c>
      <c r="AC30" s="34">
        <f t="shared" si="4"/>
        <v>908708.28020040726</v>
      </c>
      <c r="AD30" s="34">
        <f t="shared" si="4"/>
        <v>826098.43654582486</v>
      </c>
      <c r="AE30" s="34">
        <f t="shared" si="4"/>
        <v>750998.57867802249</v>
      </c>
      <c r="AF30" s="34">
        <f t="shared" si="4"/>
        <v>682725.98061638407</v>
      </c>
      <c r="AG30" s="34">
        <f t="shared" si="4"/>
        <v>620659.98237853078</v>
      </c>
      <c r="AH30" s="34">
        <f t="shared" si="4"/>
        <v>564236.34761684632</v>
      </c>
      <c r="AI30" s="34">
        <f t="shared" si="4"/>
        <v>512942.13419713295</v>
      </c>
      <c r="AJ30" s="34">
        <f t="shared" si="4"/>
        <v>466311.03108830261</v>
      </c>
      <c r="AK30" s="34">
        <f t="shared" si="4"/>
        <v>423919.11917118414</v>
      </c>
      <c r="AL30" s="34">
        <f t="shared" si="4"/>
        <v>385381.0174283493</v>
      </c>
      <c r="AM30" s="34">
        <f t="shared" si="4"/>
        <v>350346.37948031741</v>
      </c>
      <c r="AN30" s="34">
        <f t="shared" si="4"/>
        <v>318496.70861847035</v>
      </c>
      <c r="AO30" s="34">
        <f t="shared" si="4"/>
        <v>289542.46238042758</v>
      </c>
      <c r="AP30" s="34">
        <f t="shared" si="4"/>
        <v>263220.42034584325</v>
      </c>
      <c r="AQ30" s="34">
        <f t="shared" si="4"/>
        <v>239291.29122349384</v>
      </c>
      <c r="AR30" s="34">
        <f t="shared" si="4"/>
        <v>217537.53747590346</v>
      </c>
      <c r="AS30"/>
      <c r="AT30"/>
    </row>
    <row r="31" spans="1:46" ht="11.25" customHeight="1" outlineLevel="1" x14ac:dyDescent="0.35">
      <c r="A31" s="3"/>
      <c r="B31" s="3"/>
      <c r="C31" s="3"/>
      <c r="D31" s="3"/>
      <c r="E31" s="3"/>
      <c r="N31" s="4"/>
      <c r="O31" s="4"/>
    </row>
    <row r="32" spans="1:46" ht="11.25" customHeight="1" outlineLevel="1" x14ac:dyDescent="0.35">
      <c r="A32" s="3"/>
      <c r="B32" s="3"/>
      <c r="C32" s="3"/>
      <c r="D32" s="3"/>
      <c r="E32" s="3"/>
      <c r="F32" s="24" t="s">
        <v>0</v>
      </c>
      <c r="H32" s="23" t="s">
        <v>86</v>
      </c>
    </row>
    <row r="33" spans="1:46" ht="11.25" customHeight="1" outlineLevel="1" x14ac:dyDescent="0.35">
      <c r="A33" s="3"/>
      <c r="B33" s="3"/>
      <c r="C33" s="3"/>
      <c r="D33" s="3"/>
      <c r="E33" s="3"/>
      <c r="F33" t="s">
        <v>470</v>
      </c>
      <c r="H33" s="22">
        <f>SUM(N33:AT33)</f>
        <v>124230796.24428381</v>
      </c>
      <c r="N33" s="22">
        <f>N20*N$8</f>
        <v>0</v>
      </c>
      <c r="O33" s="22">
        <f t="shared" ref="O33:AR35" si="5">O20*O$8</f>
        <v>2818649.1936575961</v>
      </c>
      <c r="P33" s="22">
        <f t="shared" si="5"/>
        <v>3774295.6525575044</v>
      </c>
      <c r="Q33" s="22">
        <f t="shared" si="5"/>
        <v>4573790.2780059231</v>
      </c>
      <c r="R33" s="22">
        <f t="shared" si="5"/>
        <v>5233929.6653380217</v>
      </c>
      <c r="S33" s="22">
        <f t="shared" si="5"/>
        <v>5770080.0491135083</v>
      </c>
      <c r="T33" s="22">
        <f t="shared" si="5"/>
        <v>6196268.7187047815</v>
      </c>
      <c r="U33" s="22">
        <f t="shared" si="5"/>
        <v>6525273.27922267</v>
      </c>
      <c r="V33" s="22">
        <f t="shared" si="5"/>
        <v>6768708.16408352</v>
      </c>
      <c r="W33" s="22">
        <f t="shared" si="5"/>
        <v>6937107.9504704857</v>
      </c>
      <c r="X33" s="22">
        <f t="shared" si="5"/>
        <v>7055677.4954506019</v>
      </c>
      <c r="Y33" s="22">
        <f t="shared" si="5"/>
        <v>6536110.5734613445</v>
      </c>
      <c r="Z33" s="22">
        <f t="shared" si="5"/>
        <v>6052772.8598447479</v>
      </c>
      <c r="AA33" s="22">
        <f t="shared" si="5"/>
        <v>5603361.8962346464</v>
      </c>
      <c r="AB33" s="22">
        <f t="shared" si="5"/>
        <v>5185695.6295050411</v>
      </c>
      <c r="AC33" s="22">
        <f t="shared" si="5"/>
        <v>4797709.3913815087</v>
      </c>
      <c r="AD33" s="22">
        <f t="shared" si="5"/>
        <v>4437452.4534340557</v>
      </c>
      <c r="AE33" s="22">
        <f t="shared" si="5"/>
        <v>4103084.2566398089</v>
      </c>
      <c r="AF33" s="22">
        <f t="shared" si="5"/>
        <v>3792870.4006084143</v>
      </c>
      <c r="AG33" s="22">
        <f t="shared" si="5"/>
        <v>3505178.4651463311</v>
      </c>
      <c r="AH33" s="22">
        <f t="shared" si="5"/>
        <v>3236697.4448700505</v>
      </c>
      <c r="AI33" s="22">
        <f t="shared" si="5"/>
        <v>2988067.8945089988</v>
      </c>
      <c r="AJ33" s="22">
        <f t="shared" si="5"/>
        <v>2757898.6551468181</v>
      </c>
      <c r="AK33" s="22">
        <f t="shared" si="5"/>
        <v>2544887.5286680432</v>
      </c>
      <c r="AL33" s="22">
        <f t="shared" si="5"/>
        <v>2347816.5889879102</v>
      </c>
      <c r="AM33" s="22">
        <f t="shared" si="5"/>
        <v>2165547.6121163443</v>
      </c>
      <c r="AN33" s="22">
        <f t="shared" si="5"/>
        <v>1997017.6419817747</v>
      </c>
      <c r="AO33" s="22">
        <f t="shared" si="5"/>
        <v>1841234.704912795</v>
      </c>
      <c r="AP33" s="22">
        <f t="shared" si="5"/>
        <v>1697273.6822357464</v>
      </c>
      <c r="AQ33" s="22">
        <f t="shared" si="5"/>
        <v>1564272.3475210743</v>
      </c>
      <c r="AR33" s="22">
        <f t="shared" si="5"/>
        <v>1422065.7704737037</v>
      </c>
    </row>
    <row r="34" spans="1:46" ht="11.25" customHeight="1" outlineLevel="1" x14ac:dyDescent="0.35">
      <c r="A34" s="3"/>
      <c r="B34" s="3"/>
      <c r="C34" s="3"/>
      <c r="D34" s="3"/>
      <c r="E34" s="3"/>
      <c r="F34" t="s">
        <v>471</v>
      </c>
      <c r="H34" s="22">
        <f>SUM(N34:AT34)</f>
        <v>7994436.6877753148</v>
      </c>
      <c r="N34" s="22">
        <f>N21*N$8</f>
        <v>0</v>
      </c>
      <c r="O34" s="22">
        <f t="shared" si="5"/>
        <v>180905.85330029341</v>
      </c>
      <c r="P34" s="22">
        <f t="shared" si="5"/>
        <v>242333.19583003025</v>
      </c>
      <c r="Q34" s="22">
        <f t="shared" si="5"/>
        <v>293773.4377210394</v>
      </c>
      <c r="R34" s="22">
        <f t="shared" si="5"/>
        <v>336292.87019751273</v>
      </c>
      <c r="S34" s="22">
        <f t="shared" si="5"/>
        <v>370868.23344656848</v>
      </c>
      <c r="T34" s="22">
        <f t="shared" si="5"/>
        <v>398392.23670997756</v>
      </c>
      <c r="U34" s="22">
        <f t="shared" si="5"/>
        <v>419678.98738118733</v>
      </c>
      <c r="V34" s="22">
        <f t="shared" si="5"/>
        <v>435469.28508049541</v>
      </c>
      <c r="W34" s="22">
        <f t="shared" si="5"/>
        <v>446435.7466768786</v>
      </c>
      <c r="X34" s="22">
        <f t="shared" si="5"/>
        <v>453187.73667493195</v>
      </c>
      <c r="Y34" s="22">
        <f t="shared" si="5"/>
        <v>419961.77352212876</v>
      </c>
      <c r="Z34" s="22">
        <f t="shared" si="5"/>
        <v>389036.57234014</v>
      </c>
      <c r="AA34" s="22">
        <f t="shared" si="5"/>
        <v>360267.77394318406</v>
      </c>
      <c r="AB34" s="22">
        <f t="shared" si="5"/>
        <v>333518.33344796806</v>
      </c>
      <c r="AC34" s="22">
        <f t="shared" si="5"/>
        <v>308658.37262503814</v>
      </c>
      <c r="AD34" s="22">
        <f t="shared" si="5"/>
        <v>285565.00012188783</v>
      </c>
      <c r="AE34" s="22">
        <f t="shared" si="5"/>
        <v>264122.10641230189</v>
      </c>
      <c r="AF34" s="22">
        <f t="shared" si="5"/>
        <v>244220.1393757347</v>
      </c>
      <c r="AG34" s="22">
        <f t="shared" si="5"/>
        <v>225755.86557154151</v>
      </c>
      <c r="AH34" s="22">
        <f t="shared" si="5"/>
        <v>208632.12153383964</v>
      </c>
      <c r="AI34" s="22">
        <f t="shared" si="5"/>
        <v>192651.83253891897</v>
      </c>
      <c r="AJ34" s="22">
        <f t="shared" si="5"/>
        <v>177853.12511685185</v>
      </c>
      <c r="AK34" s="22">
        <f t="shared" si="5"/>
        <v>164153.19594136073</v>
      </c>
      <c r="AL34" s="22">
        <f t="shared" si="5"/>
        <v>151474.53673200021</v>
      </c>
      <c r="AM34" s="22">
        <f t="shared" si="5"/>
        <v>139744.65517333968</v>
      </c>
      <c r="AN34" s="22">
        <f t="shared" si="5"/>
        <v>128895.80290728837</v>
      </c>
      <c r="AO34" s="22">
        <f t="shared" si="5"/>
        <v>118864.71160599512</v>
      </c>
      <c r="AP34" s="22">
        <f t="shared" si="5"/>
        <v>109592.3378930301</v>
      </c>
      <c r="AQ34" s="22">
        <f t="shared" si="5"/>
        <v>101023.61767580149</v>
      </c>
      <c r="AR34" s="22">
        <f t="shared" si="5"/>
        <v>93107.230278049974</v>
      </c>
    </row>
    <row r="35" spans="1:46" ht="11.25" customHeight="1" outlineLevel="1" x14ac:dyDescent="0.35">
      <c r="A35" s="3"/>
      <c r="B35" s="3"/>
      <c r="C35" s="3"/>
      <c r="D35" s="3"/>
      <c r="E35" s="3"/>
      <c r="F35" t="s">
        <v>472</v>
      </c>
      <c r="H35" s="22">
        <f>SUM(N35:AT35)</f>
        <v>68006706.360787436</v>
      </c>
      <c r="N35" s="22">
        <f>N22*N$8</f>
        <v>0</v>
      </c>
      <c r="O35" s="22">
        <f t="shared" si="5"/>
        <v>1542991.382508849</v>
      </c>
      <c r="P35" s="22">
        <f t="shared" si="5"/>
        <v>2066133.5507948603</v>
      </c>
      <c r="Q35" s="22">
        <f t="shared" si="5"/>
        <v>2503794.7255891105</v>
      </c>
      <c r="R35" s="22">
        <f t="shared" si="5"/>
        <v>2865169.7374920058</v>
      </c>
      <c r="S35" s="22">
        <f t="shared" si="5"/>
        <v>3158670.40573972</v>
      </c>
      <c r="T35" s="22">
        <f t="shared" si="5"/>
        <v>3391975.5811343589</v>
      </c>
      <c r="U35" s="22">
        <f t="shared" si="5"/>
        <v>3572080.009463897</v>
      </c>
      <c r="V35" s="22">
        <f t="shared" si="5"/>
        <v>3705341.6904093386</v>
      </c>
      <c r="W35" s="22">
        <f t="shared" si="5"/>
        <v>3797527.4862849303</v>
      </c>
      <c r="X35" s="22">
        <f t="shared" si="5"/>
        <v>3862435.0975421178</v>
      </c>
      <c r="Y35" s="22">
        <f t="shared" si="5"/>
        <v>3578012.5858404161</v>
      </c>
      <c r="Z35" s="22">
        <f t="shared" si="5"/>
        <v>3313422.7501737191</v>
      </c>
      <c r="AA35" s="22">
        <f t="shared" si="5"/>
        <v>3067405.1735218498</v>
      </c>
      <c r="AB35" s="22">
        <f t="shared" si="5"/>
        <v>2838765.351376351</v>
      </c>
      <c r="AC35" s="22">
        <f t="shared" si="5"/>
        <v>2626373.0383124519</v>
      </c>
      <c r="AD35" s="22">
        <f t="shared" si="5"/>
        <v>2429160.3621153762</v>
      </c>
      <c r="AE35" s="22">
        <f t="shared" si="5"/>
        <v>2246119.759758947</v>
      </c>
      <c r="AF35" s="22">
        <f t="shared" si="5"/>
        <v>2076301.7818181864</v>
      </c>
      <c r="AG35" s="22">
        <f t="shared" si="5"/>
        <v>1918812.8051004938</v>
      </c>
      <c r="AH35" s="22">
        <f t="shared" si="5"/>
        <v>1771840.3114728213</v>
      </c>
      <c r="AI35" s="22">
        <f t="shared" si="5"/>
        <v>1635734.9548688906</v>
      </c>
      <c r="AJ35" s="22">
        <f t="shared" si="5"/>
        <v>1509735.1838957586</v>
      </c>
      <c r="AK35" s="22">
        <f t="shared" si="5"/>
        <v>1393128.1462853947</v>
      </c>
      <c r="AL35" s="22">
        <f t="shared" si="5"/>
        <v>1285247.1221573865</v>
      </c>
      <c r="AM35" s="22">
        <f t="shared" si="5"/>
        <v>1185469.0223341228</v>
      </c>
      <c r="AN35" s="22">
        <f t="shared" si="5"/>
        <v>1093211.9609739343</v>
      </c>
      <c r="AO35" s="22">
        <f t="shared" si="5"/>
        <v>1007932.9095828526</v>
      </c>
      <c r="AP35" s="22">
        <f t="shared" si="5"/>
        <v>929125.43758255022</v>
      </c>
      <c r="AQ35" s="22">
        <f t="shared" si="5"/>
        <v>856317.54301067814</v>
      </c>
      <c r="AR35" s="22">
        <f t="shared" si="5"/>
        <v>778470.49364607094</v>
      </c>
    </row>
    <row r="36" spans="1:46" s="24" customFormat="1" ht="11.25" customHeight="1" outlineLevel="1" x14ac:dyDescent="0.35">
      <c r="A36" s="33"/>
      <c r="B36" s="33"/>
      <c r="C36" s="33"/>
      <c r="D36" s="33"/>
      <c r="E36" s="33"/>
      <c r="F36" s="24" t="s">
        <v>67</v>
      </c>
      <c r="H36" s="34">
        <f t="shared" ref="H36" si="6">SUM(N36:AT36)</f>
        <v>200231939.2928465</v>
      </c>
      <c r="N36" s="34">
        <f t="shared" ref="N36:AR36" si="7">SUM(N33:N35)</f>
        <v>0</v>
      </c>
      <c r="O36" s="34">
        <f t="shared" si="7"/>
        <v>4542546.4294667384</v>
      </c>
      <c r="P36" s="34">
        <f t="shared" si="7"/>
        <v>6082762.3991823951</v>
      </c>
      <c r="Q36" s="34">
        <f t="shared" si="7"/>
        <v>7371358.4413160728</v>
      </c>
      <c r="R36" s="34">
        <f t="shared" si="7"/>
        <v>8435392.2730275411</v>
      </c>
      <c r="S36" s="34">
        <f t="shared" si="7"/>
        <v>9299618.6882997975</v>
      </c>
      <c r="T36" s="34">
        <f t="shared" si="7"/>
        <v>9986636.5365491174</v>
      </c>
      <c r="U36" s="34">
        <f t="shared" si="7"/>
        <v>10517032.276067754</v>
      </c>
      <c r="V36" s="34">
        <f t="shared" si="7"/>
        <v>10909519.139573354</v>
      </c>
      <c r="W36" s="34">
        <f t="shared" si="7"/>
        <v>11181071.183432296</v>
      </c>
      <c r="X36" s="34">
        <f t="shared" si="7"/>
        <v>11371300.329667652</v>
      </c>
      <c r="Y36" s="34">
        <f t="shared" si="7"/>
        <v>10534084.932823889</v>
      </c>
      <c r="Z36" s="34">
        <f t="shared" si="7"/>
        <v>9755232.1823586076</v>
      </c>
      <c r="AA36" s="34">
        <f t="shared" si="7"/>
        <v>9031034.8436996806</v>
      </c>
      <c r="AB36" s="34">
        <f t="shared" si="7"/>
        <v>8357979.3143293597</v>
      </c>
      <c r="AC36" s="34">
        <f t="shared" si="7"/>
        <v>7732740.8023189986</v>
      </c>
      <c r="AD36" s="34">
        <f t="shared" si="7"/>
        <v>7152177.8156713191</v>
      </c>
      <c r="AE36" s="34">
        <f t="shared" si="7"/>
        <v>6613326.1228110585</v>
      </c>
      <c r="AF36" s="34">
        <f t="shared" si="7"/>
        <v>6113392.3218023349</v>
      </c>
      <c r="AG36" s="34">
        <f t="shared" si="7"/>
        <v>5649747.1358183669</v>
      </c>
      <c r="AH36" s="34">
        <f t="shared" si="7"/>
        <v>5217169.8778767111</v>
      </c>
      <c r="AI36" s="34">
        <f t="shared" si="7"/>
        <v>4816454.6819168087</v>
      </c>
      <c r="AJ36" s="34">
        <f t="shared" si="7"/>
        <v>4445486.9641594281</v>
      </c>
      <c r="AK36" s="34">
        <f t="shared" si="7"/>
        <v>4102168.8708947985</v>
      </c>
      <c r="AL36" s="34">
        <f t="shared" si="7"/>
        <v>3784538.247877297</v>
      </c>
      <c r="AM36" s="34">
        <f t="shared" si="7"/>
        <v>3490761.2896238072</v>
      </c>
      <c r="AN36" s="34">
        <f t="shared" si="7"/>
        <v>3219125.4058629973</v>
      </c>
      <c r="AO36" s="34">
        <f t="shared" si="7"/>
        <v>2968032.326101643</v>
      </c>
      <c r="AP36" s="34">
        <f t="shared" si="7"/>
        <v>2735991.4577113269</v>
      </c>
      <c r="AQ36" s="34">
        <f t="shared" si="7"/>
        <v>2521613.508207554</v>
      </c>
      <c r="AR36" s="34">
        <f t="shared" si="7"/>
        <v>2293643.4943978246</v>
      </c>
      <c r="AS36"/>
      <c r="AT36"/>
    </row>
    <row r="38" spans="1:46" x14ac:dyDescent="0.25">
      <c r="F38" s="24" t="s">
        <v>565</v>
      </c>
      <c r="G38" s="24"/>
      <c r="H38" s="34">
        <f>H36-H30</f>
        <v>48467843.642412513</v>
      </c>
    </row>
    <row r="39" spans="1:46" x14ac:dyDescent="0.25">
      <c r="F39" s="24" t="s">
        <v>539</v>
      </c>
      <c r="G39" s="57"/>
      <c r="H39" s="61">
        <f>H36/H30</f>
        <v>1.3193630445639197</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AB290-55DB-475D-8DBF-2E7FCCC1A4E1}">
  <sheetPr>
    <pageSetUpPr autoPageBreaks="0"/>
  </sheetPr>
  <dimension ref="A1:AT61"/>
  <sheetViews>
    <sheetView showGridLines="0" workbookViewId="0">
      <selection activeCell="G24" sqref="G24"/>
    </sheetView>
  </sheetViews>
  <sheetFormatPr defaultColWidth="9.125" defaultRowHeight="10.5" outlineLevelRow="1" outlineLevelCol="1" x14ac:dyDescent="0.25"/>
  <cols>
    <col min="1" max="1" width="2.875" customWidth="1"/>
    <col min="2" max="3" width="13.375" hidden="1" customWidth="1" outlineLevel="1"/>
    <col min="4" max="4" width="2.875" customWidth="1" collapsed="1"/>
    <col min="5" max="5" width="2.875" customWidth="1"/>
    <col min="6" max="6" width="50.875" customWidth="1"/>
    <col min="7" max="7" width="9.375" customWidth="1"/>
    <col min="8" max="8" width="17" customWidth="1"/>
    <col min="9" max="9" width="9.375" customWidth="1"/>
    <col min="10" max="13" width="2.875" hidden="1" customWidth="1" outlineLevel="1"/>
    <col min="14" max="14" width="14.875" customWidth="1" collapsed="1"/>
    <col min="15" max="46" width="14.875" customWidth="1"/>
  </cols>
  <sheetData>
    <row r="1" spans="1:44" ht="15.5" x14ac:dyDescent="0.25">
      <c r="A1" s="5" t="str">
        <f ca="1">MID(CELL("filename",A1),FIND("]",CELL("filename",A1))+1,255)</f>
        <v>Best+Worst</v>
      </c>
      <c r="B1" s="5"/>
      <c r="C1" s="5"/>
      <c r="D1" s="5"/>
      <c r="E1" s="5"/>
      <c r="F1" s="5"/>
      <c r="G1" s="5"/>
      <c r="H1" s="5"/>
      <c r="I1" s="5"/>
      <c r="J1" s="5"/>
      <c r="K1" s="5"/>
      <c r="L1" s="5"/>
      <c r="M1" s="5"/>
    </row>
    <row r="3" spans="1:44" x14ac:dyDescent="0.25">
      <c r="F3" t="str">
        <f>General!F17</f>
        <v>Financial year ending</v>
      </c>
      <c r="H3" s="11" t="str">
        <f>General!H7</f>
        <v>%</v>
      </c>
      <c r="N3" s="31">
        <f>General!N17</f>
        <v>2022</v>
      </c>
      <c r="O3" s="31">
        <f>General!O17</f>
        <v>2023</v>
      </c>
      <c r="P3" s="31">
        <f>General!P17</f>
        <v>2024</v>
      </c>
      <c r="Q3" s="31">
        <f>General!Q17</f>
        <v>2025</v>
      </c>
      <c r="R3" s="31">
        <f>General!R17</f>
        <v>2026</v>
      </c>
      <c r="S3" s="31">
        <f>General!S17</f>
        <v>2027</v>
      </c>
      <c r="T3" s="31">
        <f>General!T17</f>
        <v>2028</v>
      </c>
      <c r="U3" s="31">
        <f>General!U17</f>
        <v>2029</v>
      </c>
      <c r="V3" s="31">
        <f>General!V17</f>
        <v>2030</v>
      </c>
      <c r="W3" s="31">
        <f>General!W17</f>
        <v>2031</v>
      </c>
      <c r="X3" s="31">
        <f>General!X17</f>
        <v>2032</v>
      </c>
      <c r="Y3" s="31">
        <f>General!Y17</f>
        <v>2033</v>
      </c>
      <c r="Z3" s="31">
        <f>General!Z17</f>
        <v>2034</v>
      </c>
      <c r="AA3" s="31">
        <f>General!AA17</f>
        <v>2035</v>
      </c>
      <c r="AB3" s="31">
        <f>General!AB17</f>
        <v>2036</v>
      </c>
      <c r="AC3" s="31">
        <f>General!AC17</f>
        <v>2037</v>
      </c>
      <c r="AD3" s="31">
        <f>General!AD17</f>
        <v>2038</v>
      </c>
      <c r="AE3" s="31">
        <f>General!AE17</f>
        <v>2039</v>
      </c>
      <c r="AF3" s="31">
        <f>General!AF17</f>
        <v>2040</v>
      </c>
      <c r="AG3" s="31">
        <f>General!AG17</f>
        <v>2041</v>
      </c>
      <c r="AH3" s="31">
        <f>General!AH17</f>
        <v>2042</v>
      </c>
      <c r="AI3" s="31">
        <f>General!AI17</f>
        <v>2043</v>
      </c>
      <c r="AJ3" s="31">
        <f>General!AJ17</f>
        <v>2044</v>
      </c>
      <c r="AK3" s="31">
        <f>General!AK17</f>
        <v>2045</v>
      </c>
      <c r="AL3" s="31">
        <f>General!AL17</f>
        <v>2046</v>
      </c>
      <c r="AM3" s="31">
        <f>General!AM17</f>
        <v>2047</v>
      </c>
      <c r="AN3" s="31">
        <f>General!AN17</f>
        <v>2048</v>
      </c>
      <c r="AO3" s="31">
        <f>General!AO17</f>
        <v>2049</v>
      </c>
      <c r="AP3" s="31">
        <f>General!AP17</f>
        <v>2050</v>
      </c>
      <c r="AQ3" s="31">
        <f>General!AQ17</f>
        <v>2051</v>
      </c>
      <c r="AR3" s="31">
        <f>General!AR17</f>
        <v>2052</v>
      </c>
    </row>
    <row r="4" spans="1:44" x14ac:dyDescent="0.25">
      <c r="F4" t="str">
        <f>General!F18</f>
        <v>Period number</v>
      </c>
      <c r="H4" s="11" t="str">
        <f>General!H8</f>
        <v>#</v>
      </c>
      <c r="N4" s="19">
        <f>General!N18</f>
        <v>1</v>
      </c>
      <c r="O4" s="22">
        <f>General!O18</f>
        <v>2</v>
      </c>
      <c r="P4" s="22">
        <f>General!P18</f>
        <v>3</v>
      </c>
      <c r="Q4" s="22">
        <f>General!Q18</f>
        <v>4</v>
      </c>
      <c r="R4" s="22">
        <f>General!R18</f>
        <v>5</v>
      </c>
      <c r="S4" s="22">
        <f>General!S18</f>
        <v>6</v>
      </c>
      <c r="T4" s="22">
        <f>General!T18</f>
        <v>7</v>
      </c>
      <c r="U4" s="22">
        <f>General!U18</f>
        <v>8</v>
      </c>
      <c r="V4" s="22">
        <f>General!V18</f>
        <v>9</v>
      </c>
      <c r="W4" s="22">
        <f>General!W18</f>
        <v>10</v>
      </c>
      <c r="X4" s="22">
        <f>General!X18</f>
        <v>11</v>
      </c>
      <c r="Y4" s="22">
        <f>General!Y18</f>
        <v>12</v>
      </c>
      <c r="Z4" s="22">
        <f>General!Z18</f>
        <v>13</v>
      </c>
      <c r="AA4" s="22">
        <f>General!AA18</f>
        <v>14</v>
      </c>
      <c r="AB4" s="22">
        <f>General!AB18</f>
        <v>15</v>
      </c>
      <c r="AC4" s="22">
        <f>General!AC18</f>
        <v>16</v>
      </c>
      <c r="AD4" s="22">
        <f>General!AD18</f>
        <v>17</v>
      </c>
      <c r="AE4" s="22">
        <f>General!AE18</f>
        <v>18</v>
      </c>
      <c r="AF4" s="22">
        <f>General!AF18</f>
        <v>19</v>
      </c>
      <c r="AG4" s="22">
        <f>General!AG18</f>
        <v>20</v>
      </c>
      <c r="AH4" s="22">
        <f>General!AH18</f>
        <v>21</v>
      </c>
      <c r="AI4" s="22">
        <f>General!AI18</f>
        <v>22</v>
      </c>
      <c r="AJ4" s="22">
        <f>General!AJ18</f>
        <v>23</v>
      </c>
      <c r="AK4" s="22">
        <f>General!AK18</f>
        <v>24</v>
      </c>
      <c r="AL4" s="22">
        <f>General!AL18</f>
        <v>25</v>
      </c>
      <c r="AM4" s="22">
        <f>General!AM18</f>
        <v>26</v>
      </c>
      <c r="AN4" s="22">
        <f>General!AN18</f>
        <v>27</v>
      </c>
      <c r="AO4" s="22">
        <f>General!AO18</f>
        <v>28</v>
      </c>
      <c r="AP4" s="22">
        <f>General!AP18</f>
        <v>29</v>
      </c>
      <c r="AQ4" s="22">
        <f>General!AQ18</f>
        <v>30</v>
      </c>
      <c r="AR4" s="22">
        <f>General!AR18</f>
        <v>31</v>
      </c>
    </row>
    <row r="5" spans="1:44" x14ac:dyDescent="0.25">
      <c r="F5" t="str">
        <f>General!F19</f>
        <v>Construction year</v>
      </c>
      <c r="H5" s="11" t="str">
        <f>General!H9</f>
        <v>dd/mm/yyyy</v>
      </c>
      <c r="N5" s="19">
        <f>General!N19</f>
        <v>1</v>
      </c>
      <c r="O5" s="22">
        <f>General!O19</f>
        <v>2</v>
      </c>
      <c r="P5" s="22">
        <f>General!P19</f>
        <v>3</v>
      </c>
      <c r="Q5" s="22">
        <f>General!Q19</f>
        <v>4</v>
      </c>
      <c r="R5" s="22">
        <f>General!R19</f>
        <v>5</v>
      </c>
      <c r="S5" s="22">
        <f>General!S19</f>
        <v>6</v>
      </c>
      <c r="T5" s="22">
        <f>General!T19</f>
        <v>7</v>
      </c>
      <c r="U5" s="22">
        <f>General!U19</f>
        <v>8</v>
      </c>
      <c r="V5" s="22">
        <f>General!V19</f>
        <v>9</v>
      </c>
      <c r="W5" s="22">
        <f>General!W19</f>
        <v>10</v>
      </c>
      <c r="X5" s="22" t="str">
        <f>General!X19</f>
        <v>N/A</v>
      </c>
      <c r="Y5" s="22" t="str">
        <f>General!Y19</f>
        <v>N/A</v>
      </c>
      <c r="Z5" s="22" t="str">
        <f>General!Z19</f>
        <v>N/A</v>
      </c>
      <c r="AA5" s="22" t="str">
        <f>General!AA19</f>
        <v>N/A</v>
      </c>
      <c r="AB5" s="22" t="str">
        <f>General!AB19</f>
        <v>N/A</v>
      </c>
      <c r="AC5" s="22" t="str">
        <f>General!AC19</f>
        <v>N/A</v>
      </c>
      <c r="AD5" s="22" t="str">
        <f>General!AD19</f>
        <v>N/A</v>
      </c>
      <c r="AE5" s="22" t="str">
        <f>General!AE19</f>
        <v>N/A</v>
      </c>
      <c r="AF5" s="22" t="str">
        <f>General!AF19</f>
        <v>N/A</v>
      </c>
      <c r="AG5" s="22" t="str">
        <f>General!AG19</f>
        <v>N/A</v>
      </c>
      <c r="AH5" s="22" t="str">
        <f>General!AH19</f>
        <v>N/A</v>
      </c>
      <c r="AI5" s="22" t="str">
        <f>General!AI19</f>
        <v>N/A</v>
      </c>
      <c r="AJ5" s="22" t="str">
        <f>General!AJ19</f>
        <v>N/A</v>
      </c>
      <c r="AK5" s="22" t="str">
        <f>General!AK19</f>
        <v>N/A</v>
      </c>
      <c r="AL5" s="22" t="str">
        <f>General!AL19</f>
        <v>N/A</v>
      </c>
      <c r="AM5" s="22" t="str">
        <f>General!AM19</f>
        <v>N/A</v>
      </c>
      <c r="AN5" s="22" t="str">
        <f>General!AN19</f>
        <v>N/A</v>
      </c>
      <c r="AO5" s="22" t="str">
        <f>General!AO19</f>
        <v>N/A</v>
      </c>
      <c r="AP5" s="22" t="str">
        <f>General!AP19</f>
        <v>N/A</v>
      </c>
      <c r="AQ5" s="22" t="str">
        <f>General!AQ19</f>
        <v>N/A</v>
      </c>
      <c r="AR5" s="22" t="str">
        <f>General!AR19</f>
        <v>N/A</v>
      </c>
    </row>
    <row r="6" spans="1:44" x14ac:dyDescent="0.25">
      <c r="F6" t="str">
        <f>General!F20</f>
        <v>Benefit ramp up</v>
      </c>
      <c r="H6" s="11" t="str">
        <f>General!H10</f>
        <v>dd/mm/yyyy</v>
      </c>
      <c r="N6" s="14">
        <f>General!N20</f>
        <v>0</v>
      </c>
      <c r="O6" s="14">
        <f>General!O20</f>
        <v>0.2</v>
      </c>
      <c r="P6" s="40">
        <f>General!P20</f>
        <v>0.28888888888888892</v>
      </c>
      <c r="Q6" s="40">
        <f>General!Q20</f>
        <v>0.37777777777777782</v>
      </c>
      <c r="R6" s="40">
        <f>General!R20</f>
        <v>0.46666666666666673</v>
      </c>
      <c r="S6" s="40">
        <f>General!S20</f>
        <v>0.55555555555555558</v>
      </c>
      <c r="T6" s="40">
        <f>General!T20</f>
        <v>0.64444444444444449</v>
      </c>
      <c r="U6" s="40">
        <f>General!U20</f>
        <v>0.73333333333333339</v>
      </c>
      <c r="V6" s="40">
        <f>General!V20</f>
        <v>0.8222222222222223</v>
      </c>
      <c r="W6" s="40">
        <f>General!W20</f>
        <v>0.9111111111111112</v>
      </c>
      <c r="X6" s="40">
        <f>General!X20</f>
        <v>1</v>
      </c>
      <c r="Y6" s="40">
        <f>General!Y20</f>
        <v>1</v>
      </c>
      <c r="Z6" s="40">
        <f>General!Z20</f>
        <v>1</v>
      </c>
      <c r="AA6" s="40">
        <f>General!AA20</f>
        <v>1</v>
      </c>
      <c r="AB6" s="40">
        <f>General!AB20</f>
        <v>1</v>
      </c>
      <c r="AC6" s="40">
        <f>General!AC20</f>
        <v>1</v>
      </c>
      <c r="AD6" s="40">
        <f>General!AD20</f>
        <v>1</v>
      </c>
      <c r="AE6" s="40">
        <f>General!AE20</f>
        <v>1</v>
      </c>
      <c r="AF6" s="40">
        <f>General!AF20</f>
        <v>1</v>
      </c>
      <c r="AG6" s="40">
        <f>General!AG20</f>
        <v>1</v>
      </c>
      <c r="AH6" s="40">
        <f>General!AH20</f>
        <v>1</v>
      </c>
      <c r="AI6" s="40">
        <f>General!AI20</f>
        <v>1</v>
      </c>
      <c r="AJ6" s="40">
        <f>General!AJ20</f>
        <v>1</v>
      </c>
      <c r="AK6" s="40">
        <f>General!AK20</f>
        <v>1</v>
      </c>
      <c r="AL6" s="40">
        <f>General!AL20</f>
        <v>1</v>
      </c>
      <c r="AM6" s="40">
        <f>General!AM20</f>
        <v>1</v>
      </c>
      <c r="AN6" s="40">
        <f>General!AN20</f>
        <v>1</v>
      </c>
      <c r="AO6" s="40">
        <f>General!AO20</f>
        <v>1</v>
      </c>
      <c r="AP6" s="40">
        <f>General!AP20</f>
        <v>1</v>
      </c>
      <c r="AQ6" s="40">
        <f>General!AQ20</f>
        <v>1</v>
      </c>
      <c r="AR6" s="40">
        <f>General!AR20</f>
        <v>1</v>
      </c>
    </row>
    <row r="7" spans="1:44" x14ac:dyDescent="0.25">
      <c r="F7" t="str">
        <f>General!F21</f>
        <v>Benefit year</v>
      </c>
      <c r="H7" s="11" t="str">
        <f>General!H11</f>
        <v>years</v>
      </c>
      <c r="N7" s="22">
        <f>General!N21</f>
        <v>0</v>
      </c>
      <c r="O7" s="22">
        <f>General!O21</f>
        <v>1</v>
      </c>
      <c r="P7" s="22">
        <f>General!P21</f>
        <v>2</v>
      </c>
      <c r="Q7" s="22">
        <f>General!Q21</f>
        <v>3</v>
      </c>
      <c r="R7" s="22">
        <f>General!R21</f>
        <v>4</v>
      </c>
      <c r="S7" s="22">
        <f>General!S21</f>
        <v>5</v>
      </c>
      <c r="T7" s="22">
        <f>General!T21</f>
        <v>6</v>
      </c>
      <c r="U7" s="22">
        <f>General!U21</f>
        <v>7</v>
      </c>
      <c r="V7" s="22">
        <f>General!V21</f>
        <v>8</v>
      </c>
      <c r="W7" s="22">
        <f>General!W21</f>
        <v>9</v>
      </c>
      <c r="X7" s="22">
        <f>General!X21</f>
        <v>10</v>
      </c>
      <c r="Y7" s="22">
        <f>General!Y21</f>
        <v>11</v>
      </c>
      <c r="Z7" s="22">
        <f>General!Z21</f>
        <v>12</v>
      </c>
      <c r="AA7" s="22">
        <f>General!AA21</f>
        <v>13</v>
      </c>
      <c r="AB7" s="22">
        <f>General!AB21</f>
        <v>14</v>
      </c>
      <c r="AC7" s="22">
        <f>General!AC21</f>
        <v>15</v>
      </c>
      <c r="AD7" s="22">
        <f>General!AD21</f>
        <v>16</v>
      </c>
      <c r="AE7" s="22">
        <f>General!AE21</f>
        <v>17</v>
      </c>
      <c r="AF7" s="22">
        <f>General!AF21</f>
        <v>18</v>
      </c>
      <c r="AG7" s="22">
        <f>General!AG21</f>
        <v>19</v>
      </c>
      <c r="AH7" s="22">
        <f>General!AH21</f>
        <v>20</v>
      </c>
      <c r="AI7" s="22">
        <f>General!AI21</f>
        <v>21</v>
      </c>
      <c r="AJ7" s="22">
        <f>General!AJ21</f>
        <v>22</v>
      </c>
      <c r="AK7" s="22">
        <f>General!AK21</f>
        <v>23</v>
      </c>
      <c r="AL7" s="22">
        <f>General!AL21</f>
        <v>24</v>
      </c>
      <c r="AM7" s="22">
        <f>General!AM21</f>
        <v>25</v>
      </c>
      <c r="AN7" s="22">
        <f>General!AN21</f>
        <v>26</v>
      </c>
      <c r="AO7" s="22">
        <f>General!AO21</f>
        <v>27</v>
      </c>
      <c r="AP7" s="22">
        <f>General!AP21</f>
        <v>28</v>
      </c>
      <c r="AQ7" s="22">
        <f>General!AQ21</f>
        <v>29</v>
      </c>
      <c r="AR7" s="22">
        <f>General!AR21</f>
        <v>30</v>
      </c>
    </row>
    <row r="8" spans="1:44" x14ac:dyDescent="0.25">
      <c r="F8" t="str">
        <f>General!F22</f>
        <v>Discount factor (7%)</v>
      </c>
      <c r="H8" s="11" t="str">
        <f>General!H12</f>
        <v>dd/mm/yyyy</v>
      </c>
      <c r="N8" s="27">
        <f>General!N22</f>
        <v>1</v>
      </c>
      <c r="O8" s="27">
        <f>General!O22</f>
        <v>0.93457943925233644</v>
      </c>
      <c r="P8" s="27">
        <f>General!P22</f>
        <v>0.87343872827321156</v>
      </c>
      <c r="Q8" s="27">
        <f>General!Q22</f>
        <v>0.81629787689085187</v>
      </c>
      <c r="R8" s="27">
        <f>General!R22</f>
        <v>0.7628952120475252</v>
      </c>
      <c r="S8" s="27">
        <f>General!S22</f>
        <v>0.71298617948366838</v>
      </c>
      <c r="T8" s="27">
        <f>General!T22</f>
        <v>0.66634222381651254</v>
      </c>
      <c r="U8" s="27">
        <f>General!U22</f>
        <v>0.62274974188459109</v>
      </c>
      <c r="V8" s="27">
        <f>General!V22</f>
        <v>0.5820091045650384</v>
      </c>
      <c r="W8" s="27">
        <f>General!W22</f>
        <v>0.54393374258414806</v>
      </c>
      <c r="X8" s="27">
        <f>General!X22</f>
        <v>0.5083492921347178</v>
      </c>
      <c r="Y8" s="27">
        <f>General!Y22</f>
        <v>0.47509279638758667</v>
      </c>
      <c r="Z8" s="27">
        <f>General!Z22</f>
        <v>0.44401195924073528</v>
      </c>
      <c r="AA8" s="27">
        <f>General!AA22</f>
        <v>0.41496444788853759</v>
      </c>
      <c r="AB8" s="27">
        <f>General!AB22</f>
        <v>0.3878172410173249</v>
      </c>
      <c r="AC8" s="27">
        <f>General!AC22</f>
        <v>0.36244601964235967</v>
      </c>
      <c r="AD8" s="27">
        <f>General!AD22</f>
        <v>0.33873459779659787</v>
      </c>
      <c r="AE8" s="27">
        <f>General!AE22</f>
        <v>0.31657439046411018</v>
      </c>
      <c r="AF8" s="27">
        <f>General!AF22</f>
        <v>0.29586391632159825</v>
      </c>
      <c r="AG8" s="27">
        <f>General!AG22</f>
        <v>0.27650833301083949</v>
      </c>
      <c r="AH8" s="27">
        <f>General!AH22</f>
        <v>0.2584190028138687</v>
      </c>
      <c r="AI8" s="27">
        <f>General!AI22</f>
        <v>0.24151308674193336</v>
      </c>
      <c r="AJ8" s="27">
        <f>General!AJ22</f>
        <v>0.22571316517937698</v>
      </c>
      <c r="AK8" s="27">
        <f>General!AK22</f>
        <v>0.21094688334521211</v>
      </c>
      <c r="AL8" s="27">
        <f>General!AL22</f>
        <v>0.19714661994879637</v>
      </c>
      <c r="AM8" s="27">
        <f>General!AM22</f>
        <v>0.18424917752223957</v>
      </c>
      <c r="AN8" s="27">
        <f>General!AN22</f>
        <v>0.17219549301143888</v>
      </c>
      <c r="AO8" s="27">
        <f>General!AO22</f>
        <v>0.16093036730041013</v>
      </c>
      <c r="AP8" s="27">
        <f>General!AP22</f>
        <v>0.15040221243028987</v>
      </c>
      <c r="AQ8" s="27">
        <f>General!AQ22</f>
        <v>0.1405628153554111</v>
      </c>
      <c r="AR8" s="27">
        <f>General!AR22</f>
        <v>0.13136711715458982</v>
      </c>
    </row>
    <row r="10" spans="1:44" s="13" customFormat="1" x14ac:dyDescent="0.25">
      <c r="A10" s="12"/>
      <c r="B10" s="12"/>
      <c r="C10" s="12"/>
      <c r="D10" s="13" t="s">
        <v>474</v>
      </c>
    </row>
    <row r="11" spans="1:44" ht="11.25" customHeight="1" outlineLevel="1" x14ac:dyDescent="0.25"/>
    <row r="12" spans="1:44" ht="11.25" customHeight="1" outlineLevel="1" thickBot="1" x14ac:dyDescent="0.3">
      <c r="E12" s="1" t="s">
        <v>43</v>
      </c>
      <c r="F12" s="1"/>
    </row>
    <row r="13" spans="1:44" ht="11.25" customHeight="1" outlineLevel="1" x14ac:dyDescent="0.25"/>
    <row r="14" spans="1:44" ht="11.25" customHeight="1" outlineLevel="1" x14ac:dyDescent="0.25">
      <c r="F14" s="24" t="s">
        <v>473</v>
      </c>
      <c r="H14" s="23" t="s">
        <v>45</v>
      </c>
    </row>
    <row r="15" spans="1:44" ht="11.25" customHeight="1" outlineLevel="1" x14ac:dyDescent="0.35">
      <c r="A15" s="3"/>
      <c r="B15" s="3"/>
      <c r="C15" s="3"/>
      <c r="D15" s="3"/>
      <c r="E15" s="3"/>
      <c r="F15" t="s">
        <v>68</v>
      </c>
      <c r="H15" s="22">
        <f>SUM(N15:AT15)</f>
        <v>189795000</v>
      </c>
      <c r="N15" s="22">
        <f>CAPEX!N19</f>
        <v>18979500</v>
      </c>
      <c r="O15" s="22">
        <f>CAPEX!O19</f>
        <v>18979500</v>
      </c>
      <c r="P15" s="22">
        <f>CAPEX!P19</f>
        <v>18979500</v>
      </c>
      <c r="Q15" s="22">
        <f>CAPEX!Q19</f>
        <v>18979500</v>
      </c>
      <c r="R15" s="22">
        <f>CAPEX!R19</f>
        <v>18979500</v>
      </c>
      <c r="S15" s="22">
        <f>CAPEX!S19</f>
        <v>18979500</v>
      </c>
      <c r="T15" s="22">
        <f>CAPEX!T19</f>
        <v>18979500</v>
      </c>
      <c r="U15" s="22">
        <f>CAPEX!U19</f>
        <v>18979500</v>
      </c>
      <c r="V15" s="22">
        <f>CAPEX!V19</f>
        <v>18979500</v>
      </c>
      <c r="W15" s="22">
        <f>CAPEX!W19</f>
        <v>18979500</v>
      </c>
      <c r="X15" s="22">
        <f>CAPEX!X19</f>
        <v>0</v>
      </c>
      <c r="Y15" s="22">
        <f>CAPEX!Y19</f>
        <v>0</v>
      </c>
      <c r="Z15" s="22">
        <f>CAPEX!Z19</f>
        <v>0</v>
      </c>
      <c r="AA15" s="22">
        <f>CAPEX!AA19</f>
        <v>0</v>
      </c>
      <c r="AB15" s="22">
        <f>CAPEX!AB19</f>
        <v>0</v>
      </c>
      <c r="AC15" s="22">
        <f>CAPEX!AC19</f>
        <v>0</v>
      </c>
      <c r="AD15" s="22">
        <f>CAPEX!AD19</f>
        <v>0</v>
      </c>
      <c r="AE15" s="22">
        <f>CAPEX!AE19</f>
        <v>0</v>
      </c>
      <c r="AF15" s="22">
        <f>CAPEX!AF19</f>
        <v>0</v>
      </c>
      <c r="AG15" s="22">
        <f>CAPEX!AG19</f>
        <v>0</v>
      </c>
      <c r="AH15" s="22">
        <f>CAPEX!AH19</f>
        <v>0</v>
      </c>
      <c r="AI15" s="22">
        <f>CAPEX!AI19</f>
        <v>0</v>
      </c>
      <c r="AJ15" s="22">
        <f>CAPEX!AJ19</f>
        <v>0</v>
      </c>
      <c r="AK15" s="22">
        <f>CAPEX!AK19</f>
        <v>0</v>
      </c>
      <c r="AL15" s="22">
        <f>CAPEX!AL19</f>
        <v>0</v>
      </c>
      <c r="AM15" s="22">
        <f>CAPEX!AM19</f>
        <v>0</v>
      </c>
      <c r="AN15" s="22">
        <f>CAPEX!AN19</f>
        <v>0</v>
      </c>
      <c r="AO15" s="22">
        <f>CAPEX!AO19</f>
        <v>0</v>
      </c>
      <c r="AP15" s="22">
        <f>CAPEX!AP19</f>
        <v>0</v>
      </c>
      <c r="AQ15" s="22">
        <f>CAPEX!AQ19</f>
        <v>0</v>
      </c>
      <c r="AR15" s="22">
        <f>CAPEX!AR19</f>
        <v>0</v>
      </c>
    </row>
    <row r="16" spans="1:44" ht="11.25" customHeight="1" outlineLevel="1" x14ac:dyDescent="0.35">
      <c r="A16" s="3"/>
      <c r="B16" s="3"/>
      <c r="C16" s="3"/>
      <c r="D16" s="3"/>
      <c r="E16" s="3"/>
      <c r="F16" t="s">
        <v>69</v>
      </c>
      <c r="H16" s="22">
        <f>SUM(N16:AT16)</f>
        <v>96795450</v>
      </c>
      <c r="N16" s="22">
        <f>OPEX!N19</f>
        <v>0</v>
      </c>
      <c r="O16" s="22">
        <f>OPEX!O19</f>
        <v>379590</v>
      </c>
      <c r="P16" s="22">
        <f>OPEX!P19</f>
        <v>759180</v>
      </c>
      <c r="Q16" s="22">
        <f>OPEX!Q19</f>
        <v>1138770</v>
      </c>
      <c r="R16" s="22">
        <f>OPEX!R19</f>
        <v>1518360</v>
      </c>
      <c r="S16" s="22">
        <f>OPEX!S19</f>
        <v>1897950</v>
      </c>
      <c r="T16" s="22">
        <f>OPEX!T19</f>
        <v>2277540</v>
      </c>
      <c r="U16" s="22">
        <f>OPEX!U19</f>
        <v>2657130</v>
      </c>
      <c r="V16" s="22">
        <f>OPEX!V19</f>
        <v>3036720</v>
      </c>
      <c r="W16" s="22">
        <f>OPEX!W19</f>
        <v>3416310</v>
      </c>
      <c r="X16" s="22">
        <f>OPEX!X19</f>
        <v>3795900</v>
      </c>
      <c r="Y16" s="22">
        <f>OPEX!Y19</f>
        <v>3795900</v>
      </c>
      <c r="Z16" s="22">
        <f>OPEX!Z19</f>
        <v>3795900</v>
      </c>
      <c r="AA16" s="22">
        <f>OPEX!AA19</f>
        <v>3795900</v>
      </c>
      <c r="AB16" s="22">
        <f>OPEX!AB19</f>
        <v>3795900</v>
      </c>
      <c r="AC16" s="22">
        <f>OPEX!AC19</f>
        <v>3795900</v>
      </c>
      <c r="AD16" s="22">
        <f>OPEX!AD19</f>
        <v>3795900</v>
      </c>
      <c r="AE16" s="22">
        <f>OPEX!AE19</f>
        <v>3795900</v>
      </c>
      <c r="AF16" s="22">
        <f>OPEX!AF19</f>
        <v>3795900</v>
      </c>
      <c r="AG16" s="22">
        <f>OPEX!AG19</f>
        <v>3795900</v>
      </c>
      <c r="AH16" s="22">
        <f>OPEX!AH19</f>
        <v>3795900</v>
      </c>
      <c r="AI16" s="22">
        <f>OPEX!AI19</f>
        <v>3795900</v>
      </c>
      <c r="AJ16" s="22">
        <f>OPEX!AJ19</f>
        <v>3795900</v>
      </c>
      <c r="AK16" s="22">
        <f>OPEX!AK19</f>
        <v>3795900</v>
      </c>
      <c r="AL16" s="22">
        <f>OPEX!AL19</f>
        <v>3795900</v>
      </c>
      <c r="AM16" s="22">
        <f>OPEX!AM19</f>
        <v>3795900</v>
      </c>
      <c r="AN16" s="22">
        <f>OPEX!AN19</f>
        <v>3795900</v>
      </c>
      <c r="AO16" s="22">
        <f>OPEX!AO19</f>
        <v>3795900</v>
      </c>
      <c r="AP16" s="22">
        <f>OPEX!AP19</f>
        <v>3795900</v>
      </c>
      <c r="AQ16" s="22">
        <f>OPEX!AQ19</f>
        <v>3795900</v>
      </c>
      <c r="AR16" s="22">
        <f>OPEX!AR19</f>
        <v>3795900</v>
      </c>
    </row>
    <row r="17" spans="1:46" s="24" customFormat="1" ht="11.25" customHeight="1" outlineLevel="1" x14ac:dyDescent="0.35">
      <c r="A17" s="33"/>
      <c r="B17" s="33"/>
      <c r="C17" s="33"/>
      <c r="D17" s="33"/>
      <c r="E17" s="33"/>
      <c r="F17" s="24" t="s">
        <v>46</v>
      </c>
      <c r="H17" s="34">
        <f>SUM(N17:AT17)</f>
        <v>286590450</v>
      </c>
      <c r="N17" s="34">
        <f>SUM(N15:N16)</f>
        <v>18979500</v>
      </c>
      <c r="O17" s="34">
        <f t="shared" ref="O17:AR17" si="0">SUM(O15:O16)</f>
        <v>19359090</v>
      </c>
      <c r="P17" s="34">
        <f t="shared" si="0"/>
        <v>19738680</v>
      </c>
      <c r="Q17" s="34">
        <f t="shared" si="0"/>
        <v>20118270</v>
      </c>
      <c r="R17" s="34">
        <f t="shared" si="0"/>
        <v>20497860</v>
      </c>
      <c r="S17" s="34">
        <f t="shared" si="0"/>
        <v>20877450</v>
      </c>
      <c r="T17" s="34">
        <f t="shared" si="0"/>
        <v>21257040</v>
      </c>
      <c r="U17" s="34">
        <f t="shared" si="0"/>
        <v>21636630</v>
      </c>
      <c r="V17" s="34">
        <f t="shared" si="0"/>
        <v>22016220</v>
      </c>
      <c r="W17" s="34">
        <f t="shared" si="0"/>
        <v>22395810</v>
      </c>
      <c r="X17" s="34">
        <f t="shared" si="0"/>
        <v>3795900</v>
      </c>
      <c r="Y17" s="34">
        <f t="shared" si="0"/>
        <v>3795900</v>
      </c>
      <c r="Z17" s="34">
        <f t="shared" si="0"/>
        <v>3795900</v>
      </c>
      <c r="AA17" s="34">
        <f t="shared" si="0"/>
        <v>3795900</v>
      </c>
      <c r="AB17" s="34">
        <f t="shared" si="0"/>
        <v>3795900</v>
      </c>
      <c r="AC17" s="34">
        <f t="shared" si="0"/>
        <v>3795900</v>
      </c>
      <c r="AD17" s="34">
        <f t="shared" si="0"/>
        <v>3795900</v>
      </c>
      <c r="AE17" s="34">
        <f t="shared" si="0"/>
        <v>3795900</v>
      </c>
      <c r="AF17" s="34">
        <f t="shared" si="0"/>
        <v>3795900</v>
      </c>
      <c r="AG17" s="34">
        <f t="shared" si="0"/>
        <v>3795900</v>
      </c>
      <c r="AH17" s="34">
        <f t="shared" si="0"/>
        <v>3795900</v>
      </c>
      <c r="AI17" s="34">
        <f t="shared" si="0"/>
        <v>3795900</v>
      </c>
      <c r="AJ17" s="34">
        <f t="shared" si="0"/>
        <v>3795900</v>
      </c>
      <c r="AK17" s="34">
        <f t="shared" si="0"/>
        <v>3795900</v>
      </c>
      <c r="AL17" s="34">
        <f t="shared" si="0"/>
        <v>3795900</v>
      </c>
      <c r="AM17" s="34">
        <f t="shared" si="0"/>
        <v>3795900</v>
      </c>
      <c r="AN17" s="34">
        <f t="shared" si="0"/>
        <v>3795900</v>
      </c>
      <c r="AO17" s="34">
        <f t="shared" si="0"/>
        <v>3795900</v>
      </c>
      <c r="AP17" s="34">
        <f t="shared" si="0"/>
        <v>3795900</v>
      </c>
      <c r="AQ17" s="34">
        <f t="shared" si="0"/>
        <v>3795900</v>
      </c>
      <c r="AR17" s="34">
        <f t="shared" si="0"/>
        <v>3795900</v>
      </c>
      <c r="AS17"/>
      <c r="AT17"/>
    </row>
    <row r="18" spans="1:46" ht="11.25" customHeight="1" outlineLevel="1" x14ac:dyDescent="0.35">
      <c r="A18" s="3"/>
      <c r="B18" s="3"/>
      <c r="C18" s="3"/>
      <c r="D18" s="3"/>
      <c r="E18" s="3"/>
      <c r="N18" s="4"/>
      <c r="O18" s="4"/>
    </row>
    <row r="19" spans="1:46" ht="11.25" customHeight="1" outlineLevel="1" x14ac:dyDescent="0.35">
      <c r="A19" s="3"/>
      <c r="B19" s="3"/>
      <c r="C19" s="3"/>
      <c r="D19" s="3"/>
      <c r="E19" s="3"/>
      <c r="F19" s="24" t="s">
        <v>0</v>
      </c>
      <c r="H19" s="23" t="s">
        <v>45</v>
      </c>
    </row>
    <row r="20" spans="1:46" ht="11.25" customHeight="1" outlineLevel="1" x14ac:dyDescent="0.35">
      <c r="A20" s="3"/>
      <c r="B20" s="3"/>
      <c r="C20" s="3"/>
      <c r="D20" s="3"/>
      <c r="E20" s="3"/>
      <c r="F20" t="s">
        <v>470</v>
      </c>
      <c r="H20" s="22">
        <f>SUM(N20:AT20)</f>
        <v>541705805.97889411</v>
      </c>
      <c r="N20" s="22">
        <f>Benefits!N34*N$6</f>
        <v>0</v>
      </c>
      <c r="O20" s="22">
        <f>Benefits!O34*O$6</f>
        <v>3100514.1130233561</v>
      </c>
      <c r="P20" s="22">
        <f>Benefits!P34*P$6</f>
        <v>4566897.7395945806</v>
      </c>
      <c r="Q20" s="22">
        <f>Benefits!Q34*Q$6</f>
        <v>6087714.8600258855</v>
      </c>
      <c r="R20" s="22">
        <f>Benefits!R34*R$6</f>
        <v>7662996.4230213994</v>
      </c>
      <c r="S20" s="22">
        <f>Benefits!S34*S$6</f>
        <v>9292771.6198977996</v>
      </c>
      <c r="T20" s="22">
        <f>Benefits!T34*T$6</f>
        <v>10977068.007577365</v>
      </c>
      <c r="U20" s="22">
        <f>Benefits!U34*U$6</f>
        <v>12715911.621394299</v>
      </c>
      <c r="V20" s="22">
        <f>Benefits!V34*V$6</f>
        <v>14509327.078685086</v>
      </c>
      <c r="W20" s="22">
        <f>Benefits!W34*W$6</f>
        <v>16357337.674029633</v>
      </c>
      <c r="X20" s="22">
        <f>Benefits!X34*X$6</f>
        <v>18300610.304722264</v>
      </c>
      <c r="Y20" s="22">
        <f>Benefits!Y34*Y$6</f>
        <v>18648286.270124789</v>
      </c>
      <c r="Z20" s="22">
        <f>Benefits!Z34*Z$6</f>
        <v>18996194.101183493</v>
      </c>
      <c r="AA20" s="22">
        <f>Benefits!AA34*AA$6</f>
        <v>19344324.978198022</v>
      </c>
      <c r="AB20" s="22">
        <f>Benefits!AB34*AB$6</f>
        <v>19692670.523178816</v>
      </c>
      <c r="AC20" s="22">
        <f>Benefits!AC34*AC$6</f>
        <v>20041222.772536706</v>
      </c>
      <c r="AD20" s="22">
        <f>Benefits!AD34*AD$6</f>
        <v>20389974.15177406</v>
      </c>
      <c r="AE20" s="22">
        <f>Benefits!AE34*AE$6</f>
        <v>20738917.452008273</v>
      </c>
      <c r="AF20" s="22">
        <f>Benefits!AF34*AF$6</f>
        <v>21088045.808174964</v>
      </c>
      <c r="AG20" s="22">
        <f>Benefits!AG34*AG$6</f>
        <v>21437352.678771965</v>
      </c>
      <c r="AH20" s="22">
        <f>Benefits!AH34*AH$6</f>
        <v>21774881.896345593</v>
      </c>
      <c r="AI20" s="22">
        <f>Benefits!AI34*AI$6</f>
        <v>22112449.269779846</v>
      </c>
      <c r="AJ20" s="22">
        <f>Benefits!AJ34*AJ$6</f>
        <v>22450053.30592192</v>
      </c>
      <c r="AK20" s="22">
        <f>Benefits!AK34*AK$6</f>
        <v>22787692.588524494</v>
      </c>
      <c r="AL20" s="22">
        <f>Benefits!AL34*AL$6</f>
        <v>23125365.773357421</v>
      </c>
      <c r="AM20" s="22">
        <f>Benefits!AM34*AM$6</f>
        <v>23463071.583687495</v>
      </c>
      <c r="AN20" s="22">
        <f>Benefits!AN34*AN$6</f>
        <v>23800808.806094546</v>
      </c>
      <c r="AO20" s="22">
        <f>Benefits!AO34*AO$6</f>
        <v>24138576.286594875</v>
      </c>
      <c r="AP20" s="22">
        <f>Benefits!AP34*AP$6</f>
        <v>24476372.927046016</v>
      </c>
      <c r="AQ20" s="22">
        <f>Benefits!AQ34*AQ$6</f>
        <v>24814197.681809597</v>
      </c>
      <c r="AR20" s="22">
        <f>Benefits!AR34*AR$6</f>
        <v>24814197.681809597</v>
      </c>
    </row>
    <row r="21" spans="1:46" ht="11.25" customHeight="1" outlineLevel="1" x14ac:dyDescent="0.35">
      <c r="A21" s="3"/>
      <c r="B21" s="3"/>
      <c r="C21" s="3"/>
      <c r="D21" s="3"/>
      <c r="E21" s="3"/>
      <c r="F21" t="s">
        <v>471</v>
      </c>
      <c r="H21" s="22">
        <f>SUM(N21:AT21)</f>
        <v>34917711.515387654</v>
      </c>
      <c r="N21" s="22">
        <f>Benefits!N40*N$6</f>
        <v>0</v>
      </c>
      <c r="O21" s="22">
        <f>Benefits!O40*O$6</f>
        <v>198996.43863032275</v>
      </c>
      <c r="P21" s="22">
        <f>Benefits!P40*P$6</f>
        <v>293223.16695433663</v>
      </c>
      <c r="Q21" s="22">
        <f>Benefits!Q40*Q$6</f>
        <v>391012.44560670352</v>
      </c>
      <c r="R21" s="22">
        <f>Benefits!R40*R$6</f>
        <v>492366.3912561785</v>
      </c>
      <c r="S21" s="22">
        <f>Benefits!S40*S$6</f>
        <v>597286.99864803324</v>
      </c>
      <c r="T21" s="22">
        <f>Benefits!T40*T$6</f>
        <v>705776.14925816481</v>
      </c>
      <c r="U21" s="22">
        <f>Benefits!U40*U$6</f>
        <v>817835.61922040442</v>
      </c>
      <c r="V21" s="22">
        <f>Benefits!V40*V$6</f>
        <v>933467.08659725043</v>
      </c>
      <c r="W21" s="22">
        <f>Benefits!W40*W$6</f>
        <v>1052672.1380566075</v>
      </c>
      <c r="X21" s="22">
        <f>Benefits!X40*X$6</f>
        <v>1175452.2750103897</v>
      </c>
      <c r="Y21" s="22">
        <f>Benefits!Y40*Y$6</f>
        <v>1198199.9519635709</v>
      </c>
      <c r="Z21" s="22">
        <f>Benefits!Z40*Z$6</f>
        <v>1220963.4182145684</v>
      </c>
      <c r="AA21" s="22">
        <f>Benefits!AA40*AA$6</f>
        <v>1243742.0654575359</v>
      </c>
      <c r="AB21" s="22">
        <f>Benefits!AB40*AB$6</f>
        <v>1266535.316238259</v>
      </c>
      <c r="AC21" s="22">
        <f>Benefits!AC40*AC$6</f>
        <v>1289342.6220227559</v>
      </c>
      <c r="AD21" s="22">
        <f>Benefits!AD40*AD$6</f>
        <v>1312163.4614091711</v>
      </c>
      <c r="AE21" s="22">
        <f>Benefits!AE40*AE$6</f>
        <v>1334997.3384707239</v>
      </c>
      <c r="AF21" s="22">
        <f>Benefits!AF40*AF$6</f>
        <v>1357843.7812186349</v>
      </c>
      <c r="AG21" s="22">
        <f>Benefits!AG40*AG$6</f>
        <v>1380702.3401750042</v>
      </c>
      <c r="AH21" s="22">
        <f>Benefits!AH40*AH$6</f>
        <v>1403572.5870466004</v>
      </c>
      <c r="AI21" s="22">
        <f>Benefits!AI40*AI$6</f>
        <v>1425671.7130073695</v>
      </c>
      <c r="AJ21" s="22">
        <f>Benefits!AJ40*AJ$6</f>
        <v>1447773.337155337</v>
      </c>
      <c r="AK21" s="22">
        <f>Benefits!AK40*AK$6</f>
        <v>1469877.3617289751</v>
      </c>
      <c r="AL21" s="22">
        <f>Benefits!AL40*AL$6</f>
        <v>1491983.6940020048</v>
      </c>
      <c r="AM21" s="22">
        <f>Benefits!AM40*AM$6</f>
        <v>1514092.2459633448</v>
      </c>
      <c r="AN21" s="22">
        <f>Benefits!AN40*AN$6</f>
        <v>1536202.9340211577</v>
      </c>
      <c r="AO21" s="22">
        <f>Benefits!AO40*AO$6</f>
        <v>1558315.6787289134</v>
      </c>
      <c r="AP21" s="22">
        <f>Benefits!AP40*AP$6</f>
        <v>1580430.4045315776</v>
      </c>
      <c r="AQ21" s="22">
        <f>Benefits!AQ40*AQ$6</f>
        <v>1602547.0395302246</v>
      </c>
      <c r="AR21" s="22">
        <f>Benefits!AR40*AR$6</f>
        <v>1624665.5152635379</v>
      </c>
    </row>
    <row r="22" spans="1:46" ht="11.25" customHeight="1" outlineLevel="1" x14ac:dyDescent="0.35">
      <c r="A22" s="3"/>
      <c r="B22" s="3"/>
      <c r="C22" s="3"/>
      <c r="D22" s="3"/>
      <c r="E22" s="3"/>
      <c r="F22" t="s">
        <v>472</v>
      </c>
      <c r="H22" s="22">
        <f>SUM(N22:AT22)</f>
        <v>296541830.1650421</v>
      </c>
      <c r="N22" s="22">
        <f>Benefits!N46*'Best+Worst'!N$6</f>
        <v>0</v>
      </c>
      <c r="O22" s="22">
        <f>Benefits!O46*'Best+Worst'!O$6</f>
        <v>1697290.5207597339</v>
      </c>
      <c r="P22" s="22">
        <f>Benefits!P46*'Best+Worst'!P$6</f>
        <v>2500021.5964617813</v>
      </c>
      <c r="Q22" s="22">
        <f>Benefits!Q46*'Best+Worst'!Q$6</f>
        <v>3332550.7797591072</v>
      </c>
      <c r="R22" s="22">
        <f>Benefits!R46*'Best+Worst'!R$6</f>
        <v>4194895.0126620466</v>
      </c>
      <c r="S22" s="22">
        <f>Benefits!S46*'Best+Worst'!S$6</f>
        <v>5087070.2751478786</v>
      </c>
      <c r="T22" s="22">
        <f>Benefits!T46*'Best+Worst'!T$6</f>
        <v>6009091.6524899686</v>
      </c>
      <c r="U22" s="22">
        <f>Benefits!U46*'Best+Worst'!U$6</f>
        <v>6960973.3970104624</v>
      </c>
      <c r="V22" s="22">
        <f>Benefits!V46*'Best+Worst'!V$6</f>
        <v>7942728.9847879466</v>
      </c>
      <c r="W22" s="22">
        <f>Benefits!W46*'Best+Worst'!W$6</f>
        <v>8954371.1677945908</v>
      </c>
      <c r="X22" s="22">
        <f>Benefits!X46*'Best+Worst'!X$6</f>
        <v>10018161.911875483</v>
      </c>
      <c r="Y22" s="22">
        <f>Benefits!Y46*'Best+Worst'!Y$6</f>
        <v>10208487.483333141</v>
      </c>
      <c r="Z22" s="22">
        <f>Benefits!Z46*'Best+Worst'!Z$6</f>
        <v>10398939.983218145</v>
      </c>
      <c r="AA22" s="22">
        <f>Benefits!AA46*'Best+Worst'!AA$6</f>
        <v>10589514.583429962</v>
      </c>
      <c r="AB22" s="22">
        <f>Benefits!AB46*'Best+Worst'!AB$6</f>
        <v>10780206.697670411</v>
      </c>
      <c r="AC22" s="22">
        <f>Benefits!AC46*'Best+Worst'!AC$6</f>
        <v>10971011.966493323</v>
      </c>
      <c r="AD22" s="22">
        <f>Benefits!AD46*'Best+Worst'!AD$6</f>
        <v>11161926.243449878</v>
      </c>
      <c r="AE22" s="22">
        <f>Benefits!AE46*'Best+Worst'!AE$6</f>
        <v>11352945.582237087</v>
      </c>
      <c r="AF22" s="22">
        <f>Benefits!AF46*'Best+Worst'!AF$6</f>
        <v>11544066.224765718</v>
      </c>
      <c r="AG22" s="22">
        <f>Benefits!AG46*'Best+Worst'!AG$6</f>
        <v>11735284.59007173</v>
      </c>
      <c r="AH22" s="22">
        <f>Benefits!AH46*'Best+Worst'!AH$6</f>
        <v>11920055.605646476</v>
      </c>
      <c r="AI22" s="22">
        <f>Benefits!AI46*'Best+Worst'!AI$6</f>
        <v>12104847.508589648</v>
      </c>
      <c r="AJ22" s="22">
        <f>Benefits!AJ46*'Best+Worst'!AJ$6</f>
        <v>12289659.481516108</v>
      </c>
      <c r="AK22" s="22">
        <f>Benefits!AK46*'Best+Worst'!AK$6</f>
        <v>12474490.749140508</v>
      </c>
      <c r="AL22" s="22">
        <f>Benefits!AL46*'Best+Worst'!AL$6</f>
        <v>12659340.575601324</v>
      </c>
      <c r="AM22" s="22">
        <f>Benefits!AM46*'Best+Worst'!AM$6</f>
        <v>12844208.261986345</v>
      </c>
      <c r="AN22" s="22">
        <f>Benefits!AN46*'Best+Worst'!AN$6</f>
        <v>13029093.144042321</v>
      </c>
      <c r="AO22" s="22">
        <f>Benefits!AO46*'Best+Worst'!AO$6</f>
        <v>13213994.590052847</v>
      </c>
      <c r="AP22" s="22">
        <f>Benefits!AP46*'Best+Worst'!AP$6</f>
        <v>13398911.998870298</v>
      </c>
      <c r="AQ22" s="22">
        <f>Benefits!AQ46*'Best+Worst'!AQ$6</f>
        <v>13583844.798088901</v>
      </c>
      <c r="AR22" s="22">
        <f>Benefits!AR46*'Best+Worst'!AR$6</f>
        <v>13583844.798088901</v>
      </c>
    </row>
    <row r="23" spans="1:46" s="24" customFormat="1" ht="11.25" customHeight="1" outlineLevel="1" x14ac:dyDescent="0.35">
      <c r="A23" s="33"/>
      <c r="B23" s="33"/>
      <c r="C23" s="33"/>
      <c r="D23" s="33"/>
      <c r="E23" s="33"/>
      <c r="F23" s="24" t="s">
        <v>67</v>
      </c>
      <c r="H23" s="34">
        <f t="shared" ref="H23" si="1">SUM(N23:AT23)</f>
        <v>873165347.65932393</v>
      </c>
      <c r="N23" s="34">
        <f t="shared" ref="N23:AR23" si="2">SUM(N20:N22)</f>
        <v>0</v>
      </c>
      <c r="O23" s="34">
        <f t="shared" si="2"/>
        <v>4996801.0724134129</v>
      </c>
      <c r="P23" s="34">
        <f t="shared" si="2"/>
        <v>7360142.5030106986</v>
      </c>
      <c r="Q23" s="34">
        <f t="shared" si="2"/>
        <v>9811278.0853916965</v>
      </c>
      <c r="R23" s="34">
        <f t="shared" si="2"/>
        <v>12350257.826939624</v>
      </c>
      <c r="S23" s="34">
        <f t="shared" si="2"/>
        <v>14977128.893693712</v>
      </c>
      <c r="T23" s="34">
        <f t="shared" si="2"/>
        <v>17691935.809325498</v>
      </c>
      <c r="U23" s="34">
        <f t="shared" si="2"/>
        <v>20494720.637625165</v>
      </c>
      <c r="V23" s="34">
        <f t="shared" si="2"/>
        <v>23385523.150070284</v>
      </c>
      <c r="W23" s="34">
        <f t="shared" si="2"/>
        <v>26364380.979880832</v>
      </c>
      <c r="X23" s="34">
        <f t="shared" si="2"/>
        <v>29494224.491608135</v>
      </c>
      <c r="Y23" s="34">
        <f t="shared" si="2"/>
        <v>30054973.7054215</v>
      </c>
      <c r="Z23" s="34">
        <f t="shared" si="2"/>
        <v>30616097.502616204</v>
      </c>
      <c r="AA23" s="34">
        <f t="shared" si="2"/>
        <v>31177581.627085522</v>
      </c>
      <c r="AB23" s="34">
        <f t="shared" si="2"/>
        <v>31739412.537087485</v>
      </c>
      <c r="AC23" s="34">
        <f t="shared" si="2"/>
        <v>32301577.361052785</v>
      </c>
      <c r="AD23" s="34">
        <f t="shared" si="2"/>
        <v>32864063.856633108</v>
      </c>
      <c r="AE23" s="34">
        <f t="shared" si="2"/>
        <v>33426860.372716084</v>
      </c>
      <c r="AF23" s="34">
        <f t="shared" si="2"/>
        <v>33989955.814159319</v>
      </c>
      <c r="AG23" s="34">
        <f t="shared" si="2"/>
        <v>34553339.609018698</v>
      </c>
      <c r="AH23" s="34">
        <f t="shared" si="2"/>
        <v>35098510.08903867</v>
      </c>
      <c r="AI23" s="34">
        <f t="shared" si="2"/>
        <v>35642968.491376862</v>
      </c>
      <c r="AJ23" s="34">
        <f t="shared" si="2"/>
        <v>36187486.124593362</v>
      </c>
      <c r="AK23" s="34">
        <f t="shared" si="2"/>
        <v>36732060.699393973</v>
      </c>
      <c r="AL23" s="34">
        <f t="shared" si="2"/>
        <v>37276690.042960748</v>
      </c>
      <c r="AM23" s="34">
        <f t="shared" si="2"/>
        <v>37821372.091637187</v>
      </c>
      <c r="AN23" s="34">
        <f t="shared" si="2"/>
        <v>38366104.884158023</v>
      </c>
      <c r="AO23" s="34">
        <f t="shared" si="2"/>
        <v>38910886.555376634</v>
      </c>
      <c r="AP23" s="34">
        <f t="shared" si="2"/>
        <v>39455715.33044789</v>
      </c>
      <c r="AQ23" s="34">
        <f t="shared" si="2"/>
        <v>40000589.519428723</v>
      </c>
      <c r="AR23" s="34">
        <f t="shared" si="2"/>
        <v>40022707.99516204</v>
      </c>
      <c r="AS23"/>
      <c r="AT23"/>
    </row>
    <row r="24" spans="1:46" ht="11.25" customHeight="1" outlineLevel="1" x14ac:dyDescent="0.25"/>
    <row r="25" spans="1:46" ht="11.25" customHeight="1" outlineLevel="1" thickBot="1" x14ac:dyDescent="0.3">
      <c r="E25" s="1" t="s">
        <v>44</v>
      </c>
      <c r="F25" s="1"/>
    </row>
    <row r="26" spans="1:46" ht="11.25" customHeight="1" outlineLevel="1" x14ac:dyDescent="0.25"/>
    <row r="27" spans="1:46" ht="11.25" customHeight="1" outlineLevel="1" x14ac:dyDescent="0.25">
      <c r="F27" s="24" t="s">
        <v>473</v>
      </c>
      <c r="H27" s="23" t="s">
        <v>86</v>
      </c>
    </row>
    <row r="28" spans="1:46" ht="11.25" customHeight="1" outlineLevel="1" x14ac:dyDescent="0.35">
      <c r="A28" s="3"/>
      <c r="B28" s="3"/>
      <c r="C28" s="3"/>
      <c r="D28" s="3"/>
      <c r="E28" s="3"/>
      <c r="F28" t="s">
        <v>68</v>
      </c>
      <c r="H28" s="22">
        <f>SUM(N28:AT28)</f>
        <v>142635350.46605942</v>
      </c>
      <c r="N28" s="22">
        <f>N15*N$8</f>
        <v>18979500</v>
      </c>
      <c r="O28" s="22">
        <f t="shared" ref="O28:AR29" si="3">O15*O$8</f>
        <v>17737850.46728972</v>
      </c>
      <c r="P28" s="22">
        <f t="shared" si="3"/>
        <v>16577430.343261419</v>
      </c>
      <c r="Q28" s="22">
        <f t="shared" si="3"/>
        <v>15492925.554449923</v>
      </c>
      <c r="R28" s="22">
        <f t="shared" si="3"/>
        <v>14479369.677056005</v>
      </c>
      <c r="S28" s="22">
        <f t="shared" si="3"/>
        <v>13532121.193510285</v>
      </c>
      <c r="T28" s="22">
        <f t="shared" si="3"/>
        <v>12646842.2369255</v>
      </c>
      <c r="U28" s="22">
        <f t="shared" si="3"/>
        <v>11819478.726098597</v>
      </c>
      <c r="V28" s="22">
        <f t="shared" si="3"/>
        <v>11046241.800092146</v>
      </c>
      <c r="W28" s="22">
        <f t="shared" si="3"/>
        <v>10323590.467375837</v>
      </c>
      <c r="X28" s="22">
        <f t="shared" si="3"/>
        <v>0</v>
      </c>
      <c r="Y28" s="22">
        <f t="shared" si="3"/>
        <v>0</v>
      </c>
      <c r="Z28" s="22">
        <f t="shared" si="3"/>
        <v>0</v>
      </c>
      <c r="AA28" s="22">
        <f t="shared" si="3"/>
        <v>0</v>
      </c>
      <c r="AB28" s="22">
        <f t="shared" si="3"/>
        <v>0</v>
      </c>
      <c r="AC28" s="22">
        <f t="shared" si="3"/>
        <v>0</v>
      </c>
      <c r="AD28" s="22">
        <f t="shared" si="3"/>
        <v>0</v>
      </c>
      <c r="AE28" s="22">
        <f t="shared" si="3"/>
        <v>0</v>
      </c>
      <c r="AF28" s="22">
        <f t="shared" si="3"/>
        <v>0</v>
      </c>
      <c r="AG28" s="22">
        <f t="shared" si="3"/>
        <v>0</v>
      </c>
      <c r="AH28" s="22">
        <f t="shared" si="3"/>
        <v>0</v>
      </c>
      <c r="AI28" s="22">
        <f t="shared" si="3"/>
        <v>0</v>
      </c>
      <c r="AJ28" s="22">
        <f t="shared" si="3"/>
        <v>0</v>
      </c>
      <c r="AK28" s="22">
        <f t="shared" si="3"/>
        <v>0</v>
      </c>
      <c r="AL28" s="22">
        <f t="shared" si="3"/>
        <v>0</v>
      </c>
      <c r="AM28" s="22">
        <f t="shared" si="3"/>
        <v>0</v>
      </c>
      <c r="AN28" s="22">
        <f t="shared" si="3"/>
        <v>0</v>
      </c>
      <c r="AO28" s="22">
        <f t="shared" si="3"/>
        <v>0</v>
      </c>
      <c r="AP28" s="22">
        <f t="shared" si="3"/>
        <v>0</v>
      </c>
      <c r="AQ28" s="22">
        <f t="shared" si="3"/>
        <v>0</v>
      </c>
      <c r="AR28" s="22">
        <f t="shared" si="3"/>
        <v>0</v>
      </c>
    </row>
    <row r="29" spans="1:46" ht="11.25" customHeight="1" outlineLevel="1" x14ac:dyDescent="0.35">
      <c r="A29" s="3"/>
      <c r="B29" s="3"/>
      <c r="C29" s="3"/>
      <c r="D29" s="3"/>
      <c r="E29" s="3"/>
      <c r="F29" t="s">
        <v>69</v>
      </c>
      <c r="H29" s="22">
        <f>SUM(N29:AT29)</f>
        <v>33629293.847344019</v>
      </c>
      <c r="N29" s="22">
        <f>N16*N$8</f>
        <v>0</v>
      </c>
      <c r="O29" s="22">
        <f t="shared" si="3"/>
        <v>354757.00934579439</v>
      </c>
      <c r="P29" s="22">
        <f t="shared" si="3"/>
        <v>663097.21373045677</v>
      </c>
      <c r="Q29" s="22">
        <f t="shared" si="3"/>
        <v>929575.53326699533</v>
      </c>
      <c r="R29" s="22">
        <f t="shared" si="3"/>
        <v>1158349.5741644804</v>
      </c>
      <c r="S29" s="22">
        <f t="shared" si="3"/>
        <v>1353212.1193510285</v>
      </c>
      <c r="T29" s="22">
        <f t="shared" si="3"/>
        <v>1517621.0684310601</v>
      </c>
      <c r="U29" s="22">
        <f t="shared" si="3"/>
        <v>1654727.0216538035</v>
      </c>
      <c r="V29" s="22">
        <f t="shared" si="3"/>
        <v>1767398.6880147434</v>
      </c>
      <c r="W29" s="22">
        <f t="shared" si="3"/>
        <v>1858246.2841276508</v>
      </c>
      <c r="X29" s="22">
        <f t="shared" si="3"/>
        <v>1929643.0780141754</v>
      </c>
      <c r="Y29" s="22">
        <f t="shared" si="3"/>
        <v>1803404.7458076403</v>
      </c>
      <c r="Z29" s="22">
        <f t="shared" si="3"/>
        <v>1685424.9960819071</v>
      </c>
      <c r="AA29" s="22">
        <f t="shared" si="3"/>
        <v>1575163.5477401</v>
      </c>
      <c r="AB29" s="22">
        <f t="shared" si="3"/>
        <v>1472115.4651776636</v>
      </c>
      <c r="AC29" s="22">
        <f t="shared" si="3"/>
        <v>1375808.8459604331</v>
      </c>
      <c r="AD29" s="22">
        <f t="shared" si="3"/>
        <v>1285802.6597761058</v>
      </c>
      <c r="AE29" s="22">
        <f t="shared" si="3"/>
        <v>1201684.7287627158</v>
      </c>
      <c r="AF29" s="22">
        <f t="shared" si="3"/>
        <v>1123069.8399651549</v>
      </c>
      <c r="AG29" s="22">
        <f t="shared" si="3"/>
        <v>1049597.9812758456</v>
      </c>
      <c r="AH29" s="22">
        <f t="shared" si="3"/>
        <v>980932.69278116419</v>
      </c>
      <c r="AI29" s="22">
        <f t="shared" si="3"/>
        <v>916759.5259637048</v>
      </c>
      <c r="AJ29" s="22">
        <f t="shared" si="3"/>
        <v>856784.6037043971</v>
      </c>
      <c r="AK29" s="22">
        <f t="shared" si="3"/>
        <v>800733.27449009067</v>
      </c>
      <c r="AL29" s="22">
        <f t="shared" si="3"/>
        <v>748348.85466363619</v>
      </c>
      <c r="AM29" s="22">
        <f t="shared" si="3"/>
        <v>699391.45295666915</v>
      </c>
      <c r="AN29" s="22">
        <f t="shared" si="3"/>
        <v>653636.8719221208</v>
      </c>
      <c r="AO29" s="22">
        <f t="shared" si="3"/>
        <v>610875.58123562683</v>
      </c>
      <c r="AP29" s="22">
        <f t="shared" si="3"/>
        <v>570911.75816413725</v>
      </c>
      <c r="AQ29" s="22">
        <f t="shared" si="3"/>
        <v>533562.390807605</v>
      </c>
      <c r="AR29" s="22">
        <f t="shared" si="3"/>
        <v>498656.44000710751</v>
      </c>
    </row>
    <row r="30" spans="1:46" s="24" customFormat="1" ht="11.25" customHeight="1" outlineLevel="1" x14ac:dyDescent="0.35">
      <c r="A30" s="33"/>
      <c r="B30" s="33"/>
      <c r="C30" s="33"/>
      <c r="D30" s="33"/>
      <c r="E30" s="33"/>
      <c r="F30" s="24" t="s">
        <v>46</v>
      </c>
      <c r="H30" s="34">
        <f>SUM(N30:AT30)</f>
        <v>176264644.31340346</v>
      </c>
      <c r="N30" s="34">
        <f>SUM(N28:N29)</f>
        <v>18979500</v>
      </c>
      <c r="O30" s="34">
        <f t="shared" ref="O30:AR30" si="4">SUM(O28:O29)</f>
        <v>18092607.476635516</v>
      </c>
      <c r="P30" s="34">
        <f t="shared" si="4"/>
        <v>17240527.556991875</v>
      </c>
      <c r="Q30" s="34">
        <f t="shared" si="4"/>
        <v>16422501.087716918</v>
      </c>
      <c r="R30" s="34">
        <f t="shared" si="4"/>
        <v>15637719.251220485</v>
      </c>
      <c r="S30" s="34">
        <f t="shared" si="4"/>
        <v>14885333.312861312</v>
      </c>
      <c r="T30" s="34">
        <f t="shared" si="4"/>
        <v>14164463.30535656</v>
      </c>
      <c r="U30" s="34">
        <f t="shared" si="4"/>
        <v>13474205.7477524</v>
      </c>
      <c r="V30" s="34">
        <f t="shared" si="4"/>
        <v>12813640.48810689</v>
      </c>
      <c r="W30" s="34">
        <f t="shared" si="4"/>
        <v>12181836.751503488</v>
      </c>
      <c r="X30" s="34">
        <f t="shared" si="4"/>
        <v>1929643.0780141754</v>
      </c>
      <c r="Y30" s="34">
        <f t="shared" si="4"/>
        <v>1803404.7458076403</v>
      </c>
      <c r="Z30" s="34">
        <f t="shared" si="4"/>
        <v>1685424.9960819071</v>
      </c>
      <c r="AA30" s="34">
        <f t="shared" si="4"/>
        <v>1575163.5477401</v>
      </c>
      <c r="AB30" s="34">
        <f t="shared" si="4"/>
        <v>1472115.4651776636</v>
      </c>
      <c r="AC30" s="34">
        <f t="shared" si="4"/>
        <v>1375808.8459604331</v>
      </c>
      <c r="AD30" s="34">
        <f t="shared" si="4"/>
        <v>1285802.6597761058</v>
      </c>
      <c r="AE30" s="34">
        <f t="shared" si="4"/>
        <v>1201684.7287627158</v>
      </c>
      <c r="AF30" s="34">
        <f t="shared" si="4"/>
        <v>1123069.8399651549</v>
      </c>
      <c r="AG30" s="34">
        <f t="shared" si="4"/>
        <v>1049597.9812758456</v>
      </c>
      <c r="AH30" s="34">
        <f t="shared" si="4"/>
        <v>980932.69278116419</v>
      </c>
      <c r="AI30" s="34">
        <f t="shared" si="4"/>
        <v>916759.5259637048</v>
      </c>
      <c r="AJ30" s="34">
        <f t="shared" si="4"/>
        <v>856784.6037043971</v>
      </c>
      <c r="AK30" s="34">
        <f t="shared" si="4"/>
        <v>800733.27449009067</v>
      </c>
      <c r="AL30" s="34">
        <f t="shared" si="4"/>
        <v>748348.85466363619</v>
      </c>
      <c r="AM30" s="34">
        <f t="shared" si="4"/>
        <v>699391.45295666915</v>
      </c>
      <c r="AN30" s="34">
        <f t="shared" si="4"/>
        <v>653636.8719221208</v>
      </c>
      <c r="AO30" s="34">
        <f t="shared" si="4"/>
        <v>610875.58123562683</v>
      </c>
      <c r="AP30" s="34">
        <f t="shared" si="4"/>
        <v>570911.75816413725</v>
      </c>
      <c r="AQ30" s="34">
        <f t="shared" si="4"/>
        <v>533562.390807605</v>
      </c>
      <c r="AR30" s="34">
        <f t="shared" si="4"/>
        <v>498656.44000710751</v>
      </c>
      <c r="AS30"/>
      <c r="AT30"/>
    </row>
    <row r="31" spans="1:46" ht="11.25" customHeight="1" outlineLevel="1" x14ac:dyDescent="0.35">
      <c r="A31" s="3"/>
      <c r="B31" s="3"/>
      <c r="C31" s="3"/>
      <c r="D31" s="3"/>
      <c r="E31" s="3"/>
      <c r="N31" s="4"/>
      <c r="O31" s="4"/>
    </row>
    <row r="32" spans="1:46" ht="11.25" customHeight="1" outlineLevel="1" x14ac:dyDescent="0.35">
      <c r="A32" s="3"/>
      <c r="B32" s="3"/>
      <c r="C32" s="3"/>
      <c r="D32" s="3"/>
      <c r="E32" s="3"/>
      <c r="F32" s="24" t="s">
        <v>0</v>
      </c>
      <c r="H32" s="23" t="s">
        <v>86</v>
      </c>
    </row>
    <row r="33" spans="1:46" ht="11.25" customHeight="1" outlineLevel="1" x14ac:dyDescent="0.35">
      <c r="A33" s="3"/>
      <c r="B33" s="3"/>
      <c r="C33" s="3"/>
      <c r="D33" s="3"/>
      <c r="E33" s="3"/>
      <c r="F33" t="s">
        <v>470</v>
      </c>
      <c r="H33" s="22">
        <f>SUM(N33:AT33)</f>
        <v>180203304.42563879</v>
      </c>
      <c r="N33" s="22">
        <f>N20*N$8</f>
        <v>0</v>
      </c>
      <c r="O33" s="22">
        <f t="shared" ref="O33:AR35" si="5">O20*O$8</f>
        <v>2897676.7411433235</v>
      </c>
      <c r="P33" s="22">
        <f t="shared" si="5"/>
        <v>3988905.3538252949</v>
      </c>
      <c r="Q33" s="22">
        <f t="shared" si="5"/>
        <v>4969388.7153560203</v>
      </c>
      <c r="R33" s="22">
        <f t="shared" si="5"/>
        <v>5846063.281060338</v>
      </c>
      <c r="S33" s="22">
        <f t="shared" si="5"/>
        <v>6625617.734085192</v>
      </c>
      <c r="T33" s="22">
        <f t="shared" si="5"/>
        <v>7314483.9071541959</v>
      </c>
      <c r="U33" s="22">
        <f t="shared" si="5"/>
        <v>7918830.6800505714</v>
      </c>
      <c r="V33" s="22">
        <f t="shared" si="5"/>
        <v>8444560.4609067719</v>
      </c>
      <c r="W33" s="22">
        <f t="shared" si="5"/>
        <v>8897307.8997476213</v>
      </c>
      <c r="X33" s="22">
        <f t="shared" si="5"/>
        <v>9303102.2940388862</v>
      </c>
      <c r="Y33" s="22">
        <f t="shared" si="5"/>
        <v>8859666.4719098248</v>
      </c>
      <c r="Z33" s="22">
        <f t="shared" si="5"/>
        <v>8434537.3609837815</v>
      </c>
      <c r="AA33" s="22">
        <f t="shared" si="5"/>
        <v>8027207.1343543893</v>
      </c>
      <c r="AB33" s="22">
        <f t="shared" si="5"/>
        <v>7637157.1505624084</v>
      </c>
      <c r="AC33" s="22">
        <f t="shared" si="5"/>
        <v>7263861.4226717446</v>
      </c>
      <c r="AD33" s="22">
        <f t="shared" si="5"/>
        <v>6906789.6933842134</v>
      </c>
      <c r="AE33" s="22">
        <f t="shared" si="5"/>
        <v>6565410.1512550162</v>
      </c>
      <c r="AF33" s="22">
        <f t="shared" si="5"/>
        <v>6239191.8203759082</v>
      </c>
      <c r="AG33" s="22">
        <f t="shared" si="5"/>
        <v>5927606.653372691</v>
      </c>
      <c r="AH33" s="22">
        <f t="shared" si="5"/>
        <v>5627043.2660433901</v>
      </c>
      <c r="AI33" s="22">
        <f t="shared" si="5"/>
        <v>5340445.8785689408</v>
      </c>
      <c r="AJ33" s="22">
        <f t="shared" si="5"/>
        <v>5067272.5901253726</v>
      </c>
      <c r="AK33" s="22">
        <f t="shared" si="5"/>
        <v>4806992.7301780311</v>
      </c>
      <c r="AL33" s="22">
        <f t="shared" si="5"/>
        <v>4559087.6972969994</v>
      </c>
      <c r="AM33" s="22">
        <f t="shared" si="5"/>
        <v>4323051.6414398523</v>
      </c>
      <c r="AN33" s="22">
        <f t="shared" si="5"/>
        <v>4098392.0064364462</v>
      </c>
      <c r="AO33" s="22">
        <f t="shared" si="5"/>
        <v>3884629.9479106832</v>
      </c>
      <c r="AP33" s="22">
        <f t="shared" si="5"/>
        <v>3681300.6404965706</v>
      </c>
      <c r="AQ33" s="22">
        <f t="shared" si="5"/>
        <v>3487953.4869408724</v>
      </c>
      <c r="AR33" s="22">
        <f t="shared" si="5"/>
        <v>3259769.6139634326</v>
      </c>
    </row>
    <row r="34" spans="1:46" ht="11.25" customHeight="1" outlineLevel="1" x14ac:dyDescent="0.35">
      <c r="A34" s="3"/>
      <c r="B34" s="3"/>
      <c r="C34" s="3"/>
      <c r="D34" s="3"/>
      <c r="E34" s="3"/>
      <c r="F34" t="s">
        <v>471</v>
      </c>
      <c r="H34" s="22">
        <f>SUM(N34:AT34)</f>
        <v>11601042.230651909</v>
      </c>
      <c r="N34" s="22">
        <f>N21*N$8</f>
        <v>0</v>
      </c>
      <c r="O34" s="22">
        <f t="shared" si="5"/>
        <v>185977.98002833902</v>
      </c>
      <c r="P34" s="22">
        <f t="shared" si="5"/>
        <v>256112.47004483937</v>
      </c>
      <c r="Q34" s="22">
        <f t="shared" si="5"/>
        <v>319182.62918665179</v>
      </c>
      <c r="R34" s="22">
        <f t="shared" si="5"/>
        <v>375623.96246245707</v>
      </c>
      <c r="S34" s="22">
        <f t="shared" si="5"/>
        <v>425857.37522132823</v>
      </c>
      <c r="T34" s="22">
        <f t="shared" si="5"/>
        <v>470288.44881334039</v>
      </c>
      <c r="U34" s="22">
        <f t="shared" si="5"/>
        <v>509306.9207735316</v>
      </c>
      <c r="V34" s="22">
        <f t="shared" si="5"/>
        <v>543286.3432114009</v>
      </c>
      <c r="W34" s="22">
        <f t="shared" si="5"/>
        <v>572583.89576718747</v>
      </c>
      <c r="X34" s="22">
        <f t="shared" si="5"/>
        <v>597540.33193967526</v>
      </c>
      <c r="Y34" s="22">
        <f t="shared" si="5"/>
        <v>569256.16580984497</v>
      </c>
      <c r="Z34" s="22">
        <f t="shared" si="5"/>
        <v>542122.35948271572</v>
      </c>
      <c r="AA34" s="22">
        <f t="shared" si="5"/>
        <v>516108.73950833577</v>
      </c>
      <c r="AB34" s="22">
        <f t="shared" si="5"/>
        <v>491184.23199452669</v>
      </c>
      <c r="AC34" s="22">
        <f t="shared" si="5"/>
        <v>467317.10130739131</v>
      </c>
      <c r="AD34" s="22">
        <f t="shared" si="5"/>
        <v>444475.16234382725</v>
      </c>
      <c r="AE34" s="22">
        <f t="shared" si="5"/>
        <v>422625.96869757882</v>
      </c>
      <c r="AF34" s="22">
        <f t="shared" si="5"/>
        <v>401736.97886427277</v>
      </c>
      <c r="AG34" s="22">
        <f t="shared" si="5"/>
        <v>381775.70246595546</v>
      </c>
      <c r="AH34" s="22">
        <f t="shared" si="5"/>
        <v>362709.82832146442</v>
      </c>
      <c r="AI34" s="22">
        <f t="shared" si="5"/>
        <v>344318.37608906958</v>
      </c>
      <c r="AJ34" s="22">
        <f t="shared" si="5"/>
        <v>326781.50239164039</v>
      </c>
      <c r="AK34" s="22">
        <f t="shared" si="5"/>
        <v>310066.04835641023</v>
      </c>
      <c r="AL34" s="22">
        <f t="shared" si="5"/>
        <v>294139.54229121451</v>
      </c>
      <c r="AM34" s="22">
        <f t="shared" si="5"/>
        <v>278970.25101154676</v>
      </c>
      <c r="AN34" s="22">
        <f t="shared" si="5"/>
        <v>264527.22158939217</v>
      </c>
      <c r="AO34" s="22">
        <f t="shared" si="5"/>
        <v>250780.31454783195</v>
      </c>
      <c r="AP34" s="22">
        <f t="shared" si="5"/>
        <v>237700.22943364727</v>
      </c>
      <c r="AQ34" s="22">
        <f t="shared" si="5"/>
        <v>225258.52361584766</v>
      </c>
      <c r="AR34" s="22">
        <f t="shared" si="5"/>
        <v>213427.62508064721</v>
      </c>
    </row>
    <row r="35" spans="1:46" ht="11.25" customHeight="1" outlineLevel="1" x14ac:dyDescent="0.35">
      <c r="A35" s="3"/>
      <c r="B35" s="3"/>
      <c r="C35" s="3"/>
      <c r="D35" s="3"/>
      <c r="E35" s="3"/>
      <c r="F35" t="s">
        <v>472</v>
      </c>
      <c r="H35" s="22">
        <f>SUM(N35:AT35)</f>
        <v>98647304.692630887</v>
      </c>
      <c r="N35" s="22">
        <f>N22*N$8</f>
        <v>0</v>
      </c>
      <c r="O35" s="22">
        <f t="shared" si="5"/>
        <v>1586252.8231399381</v>
      </c>
      <c r="P35" s="22">
        <f t="shared" si="5"/>
        <v>2183615.6838691426</v>
      </c>
      <c r="Q35" s="22">
        <f t="shared" si="5"/>
        <v>2720354.1261483119</v>
      </c>
      <c r="R35" s="22">
        <f t="shared" si="5"/>
        <v>3200265.320201918</v>
      </c>
      <c r="S35" s="22">
        <f t="shared" si="5"/>
        <v>3627010.8002426196</v>
      </c>
      <c r="T35" s="22">
        <f t="shared" si="5"/>
        <v>4004111.494837408</v>
      </c>
      <c r="U35" s="22">
        <f t="shared" si="5"/>
        <v>4334944.3862537704</v>
      </c>
      <c r="V35" s="22">
        <f t="shared" si="5"/>
        <v>4622740.5842392091</v>
      </c>
      <c r="W35" s="22">
        <f t="shared" si="5"/>
        <v>4870584.6217860999</v>
      </c>
      <c r="X35" s="22">
        <f t="shared" si="5"/>
        <v>5092725.5163928932</v>
      </c>
      <c r="Y35" s="22">
        <f t="shared" si="5"/>
        <v>4849978.8653444191</v>
      </c>
      <c r="Z35" s="22">
        <f t="shared" si="5"/>
        <v>4617253.7159755072</v>
      </c>
      <c r="AA35" s="22">
        <f t="shared" si="5"/>
        <v>4394272.0725206314</v>
      </c>
      <c r="AB35" s="22">
        <f t="shared" si="5"/>
        <v>4180750.0190870259</v>
      </c>
      <c r="AC35" s="22">
        <f t="shared" si="5"/>
        <v>3976399.6187042021</v>
      </c>
      <c r="AD35" s="22">
        <f t="shared" si="5"/>
        <v>3780930.5967102852</v>
      </c>
      <c r="AE35" s="22">
        <f t="shared" si="5"/>
        <v>3594051.8276689183</v>
      </c>
      <c r="AF35" s="22">
        <f t="shared" si="5"/>
        <v>3415472.6435350729</v>
      </c>
      <c r="AG35" s="22">
        <f t="shared" si="5"/>
        <v>3244903.9794085268</v>
      </c>
      <c r="AH35" s="22">
        <f t="shared" si="5"/>
        <v>3080368.8830970284</v>
      </c>
      <c r="AI35" s="22">
        <f t="shared" si="5"/>
        <v>2923479.0863398877</v>
      </c>
      <c r="AJ35" s="22">
        <f t="shared" si="5"/>
        <v>2773937.9405497415</v>
      </c>
      <c r="AK35" s="22">
        <f t="shared" si="5"/>
        <v>2631454.9448498706</v>
      </c>
      <c r="AL35" s="22">
        <f t="shared" si="5"/>
        <v>2495746.2052604514</v>
      </c>
      <c r="AM35" s="22">
        <f t="shared" si="5"/>
        <v>2366534.8081953381</v>
      </c>
      <c r="AN35" s="22">
        <f t="shared" si="5"/>
        <v>2243551.1174303256</v>
      </c>
      <c r="AO35" s="22">
        <f t="shared" si="5"/>
        <v>2126533.0028828369</v>
      </c>
      <c r="AP35" s="22">
        <f t="shared" si="5"/>
        <v>2015226.0087888504</v>
      </c>
      <c r="AQ35" s="22">
        <f t="shared" si="5"/>
        <v>1909383.4681703318</v>
      </c>
      <c r="AR35" s="22">
        <f t="shared" si="5"/>
        <v>1784470.5310003101</v>
      </c>
    </row>
    <row r="36" spans="1:46" s="24" customFormat="1" ht="11.25" customHeight="1" outlineLevel="1" x14ac:dyDescent="0.35">
      <c r="A36" s="33"/>
      <c r="B36" s="33"/>
      <c r="C36" s="33"/>
      <c r="D36" s="33"/>
      <c r="E36" s="33"/>
      <c r="F36" s="24" t="s">
        <v>67</v>
      </c>
      <c r="H36" s="34">
        <f t="shared" ref="H36" si="6">SUM(N36:AT36)</f>
        <v>290451651.34892154</v>
      </c>
      <c r="N36" s="34">
        <f t="shared" ref="N36:AR36" si="7">SUM(N33:N35)</f>
        <v>0</v>
      </c>
      <c r="O36" s="34">
        <f t="shared" si="7"/>
        <v>4669907.5443116007</v>
      </c>
      <c r="P36" s="34">
        <f t="shared" si="7"/>
        <v>6428633.5077392776</v>
      </c>
      <c r="Q36" s="34">
        <f t="shared" si="7"/>
        <v>8008925.4706909843</v>
      </c>
      <c r="R36" s="34">
        <f t="shared" si="7"/>
        <v>9421952.5637247134</v>
      </c>
      <c r="S36" s="34">
        <f t="shared" si="7"/>
        <v>10678485.909549139</v>
      </c>
      <c r="T36" s="34">
        <f t="shared" si="7"/>
        <v>11788883.850804944</v>
      </c>
      <c r="U36" s="34">
        <f t="shared" si="7"/>
        <v>12763081.987077873</v>
      </c>
      <c r="V36" s="34">
        <f t="shared" si="7"/>
        <v>13610587.388357382</v>
      </c>
      <c r="W36" s="34">
        <f t="shared" si="7"/>
        <v>14340476.41730091</v>
      </c>
      <c r="X36" s="34">
        <f t="shared" si="7"/>
        <v>14993368.142371453</v>
      </c>
      <c r="Y36" s="34">
        <f t="shared" si="7"/>
        <v>14278901.503064089</v>
      </c>
      <c r="Z36" s="34">
        <f t="shared" si="7"/>
        <v>13593913.436442003</v>
      </c>
      <c r="AA36" s="34">
        <f t="shared" si="7"/>
        <v>12937587.946383357</v>
      </c>
      <c r="AB36" s="34">
        <f t="shared" si="7"/>
        <v>12309091.401643962</v>
      </c>
      <c r="AC36" s="34">
        <f t="shared" si="7"/>
        <v>11707578.142683338</v>
      </c>
      <c r="AD36" s="34">
        <f t="shared" si="7"/>
        <v>11132195.452438325</v>
      </c>
      <c r="AE36" s="34">
        <f t="shared" si="7"/>
        <v>10582087.947621513</v>
      </c>
      <c r="AF36" s="34">
        <f t="shared" si="7"/>
        <v>10056401.442775253</v>
      </c>
      <c r="AG36" s="34">
        <f t="shared" si="7"/>
        <v>9554286.3352471739</v>
      </c>
      <c r="AH36" s="34">
        <f t="shared" si="7"/>
        <v>9070121.9774618819</v>
      </c>
      <c r="AI36" s="34">
        <f t="shared" si="7"/>
        <v>8608243.340997899</v>
      </c>
      <c r="AJ36" s="34">
        <f t="shared" si="7"/>
        <v>8167992.0330667542</v>
      </c>
      <c r="AK36" s="34">
        <f t="shared" si="7"/>
        <v>7748513.7233843114</v>
      </c>
      <c r="AL36" s="34">
        <f t="shared" si="7"/>
        <v>7348973.444848666</v>
      </c>
      <c r="AM36" s="34">
        <f t="shared" si="7"/>
        <v>6968556.7006467376</v>
      </c>
      <c r="AN36" s="34">
        <f t="shared" si="7"/>
        <v>6606470.3454561643</v>
      </c>
      <c r="AO36" s="34">
        <f t="shared" si="7"/>
        <v>6261943.2653413527</v>
      </c>
      <c r="AP36" s="34">
        <f t="shared" si="7"/>
        <v>5934226.8787190681</v>
      </c>
      <c r="AQ36" s="34">
        <f t="shared" si="7"/>
        <v>5622595.478727052</v>
      </c>
      <c r="AR36" s="34">
        <f t="shared" si="7"/>
        <v>5257667.7700443901</v>
      </c>
      <c r="AS36"/>
      <c r="AT36"/>
    </row>
    <row r="39" spans="1:46" ht="11.25" customHeight="1" thickBot="1" x14ac:dyDescent="0.3">
      <c r="E39" s="1" t="s">
        <v>578</v>
      </c>
      <c r="F39" s="1"/>
    </row>
    <row r="40" spans="1:46" x14ac:dyDescent="0.25">
      <c r="N40" s="58" t="s">
        <v>565</v>
      </c>
      <c r="O40" s="58" t="s">
        <v>539</v>
      </c>
    </row>
    <row r="41" spans="1:46" x14ac:dyDescent="0.25">
      <c r="F41" t="s">
        <v>579</v>
      </c>
      <c r="G41" s="24"/>
      <c r="N41" s="34">
        <f>H36-H30</f>
        <v>114187007.03551808</v>
      </c>
      <c r="O41" s="61">
        <f>H36/H30</f>
        <v>1.647815717555305</v>
      </c>
    </row>
    <row r="42" spans="1:46" x14ac:dyDescent="0.25">
      <c r="G42" s="57"/>
    </row>
    <row r="44" spans="1:46" ht="11.25" customHeight="1" thickBot="1" x14ac:dyDescent="0.3">
      <c r="E44" s="1" t="s">
        <v>569</v>
      </c>
      <c r="F44" s="1"/>
    </row>
    <row r="47" spans="1:46" x14ac:dyDescent="0.25">
      <c r="F47" t="s">
        <v>574</v>
      </c>
      <c r="H47" s="34">
        <f>H30</f>
        <v>176264644.31340346</v>
      </c>
    </row>
    <row r="48" spans="1:46" x14ac:dyDescent="0.25">
      <c r="F48" t="s">
        <v>575</v>
      </c>
      <c r="H48" s="34">
        <f>H36</f>
        <v>290451651.34892154</v>
      </c>
    </row>
    <row r="50" spans="6:15" x14ac:dyDescent="0.25">
      <c r="F50" t="s">
        <v>570</v>
      </c>
      <c r="H50" s="34">
        <f>H47*SensCAPEXLow</f>
        <v>141011715.45072278</v>
      </c>
    </row>
    <row r="51" spans="6:15" x14ac:dyDescent="0.25">
      <c r="F51" t="s">
        <v>571</v>
      </c>
      <c r="H51" s="34">
        <f>H47*SensCAPEXHigh</f>
        <v>211517573.17608413</v>
      </c>
    </row>
    <row r="52" spans="6:15" x14ac:dyDescent="0.25">
      <c r="F52" t="s">
        <v>572</v>
      </c>
      <c r="H52" s="34">
        <f>H48*SensBenefitsLow</f>
        <v>232361321.07913724</v>
      </c>
    </row>
    <row r="53" spans="6:15" x14ac:dyDescent="0.25">
      <c r="F53" t="s">
        <v>573</v>
      </c>
      <c r="H53" s="34">
        <f>H48*SensBenefitsHigh</f>
        <v>348541981.61870581</v>
      </c>
    </row>
    <row r="55" spans="6:15" x14ac:dyDescent="0.25">
      <c r="N55" s="58" t="s">
        <v>565</v>
      </c>
      <c r="O55" s="58" t="s">
        <v>539</v>
      </c>
    </row>
    <row r="56" spans="6:15" x14ac:dyDescent="0.25">
      <c r="F56" t="s">
        <v>576</v>
      </c>
      <c r="N56" s="34">
        <f>H48-H50</f>
        <v>149439935.89819875</v>
      </c>
      <c r="O56" s="61">
        <f>H48/H50</f>
        <v>2.0597696469441309</v>
      </c>
    </row>
    <row r="57" spans="6:15" x14ac:dyDescent="0.25">
      <c r="F57" t="s">
        <v>577</v>
      </c>
      <c r="N57" s="34">
        <f>H48-H51</f>
        <v>78934078.172837406</v>
      </c>
      <c r="O57" s="61">
        <f>H48/H51</f>
        <v>1.373179764629421</v>
      </c>
    </row>
    <row r="58" spans="6:15" x14ac:dyDescent="0.25">
      <c r="F58" t="s">
        <v>580</v>
      </c>
      <c r="N58" s="34">
        <f>H52-H47</f>
        <v>56096676.765733778</v>
      </c>
      <c r="O58" s="61">
        <f>H52/H47</f>
        <v>1.3182525740442441</v>
      </c>
    </row>
    <row r="59" spans="6:15" x14ac:dyDescent="0.25">
      <c r="F59" t="s">
        <v>581</v>
      </c>
      <c r="N59" s="34">
        <f>H53-H47</f>
        <v>172277337.30530235</v>
      </c>
      <c r="O59" s="61">
        <f>H53/H47</f>
        <v>1.9773788610663658</v>
      </c>
    </row>
    <row r="60" spans="6:15" x14ac:dyDescent="0.25">
      <c r="F60" t="s">
        <v>582</v>
      </c>
      <c r="N60" s="34">
        <f>H53-H50</f>
        <v>207530266.16798303</v>
      </c>
      <c r="O60" s="61">
        <f>H53/H50</f>
        <v>2.4717235763329568</v>
      </c>
    </row>
    <row r="61" spans="6:15" x14ac:dyDescent="0.25">
      <c r="F61" t="s">
        <v>583</v>
      </c>
      <c r="N61" s="34">
        <f>H52-H51</f>
        <v>20843747.903053105</v>
      </c>
      <c r="O61" s="61">
        <f>H52/H51</f>
        <v>1.0985438117035369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9B76-B7D7-4241-B8D8-46575D9F4D29}">
  <sheetPr>
    <tabColor theme="3"/>
    <pageSetUpPr autoPageBreaks="0"/>
  </sheetPr>
  <dimension ref="A1"/>
  <sheetViews>
    <sheetView showGridLines="0" workbookViewId="0">
      <selection activeCell="K8" sqref="K8"/>
    </sheetView>
  </sheetViews>
  <sheetFormatPr defaultColWidth="9.375" defaultRowHeight="10.5" x14ac:dyDescent="0.25"/>
  <cols>
    <col min="1" max="1" width="16.125" customWidth="1"/>
  </cols>
  <sheetData>
    <row r="1" spans="1:1" ht="31" x14ac:dyDescent="0.25">
      <c r="A1" s="6" t="str">
        <f ca="1">MID(CELL("filename",A1),FIND("]",CELL("filename",A1))+1,255)</f>
        <v>Model explanation</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1E036-3493-47C6-A6E1-0E1B8A43EFE6}">
  <sheetPr>
    <tabColor theme="3"/>
    <pageSetUpPr autoPageBreaks="0"/>
  </sheetPr>
  <dimension ref="A1"/>
  <sheetViews>
    <sheetView showGridLines="0" workbookViewId="0">
      <selection activeCell="A4" sqref="A4"/>
    </sheetView>
  </sheetViews>
  <sheetFormatPr defaultColWidth="9.375" defaultRowHeight="10.5" x14ac:dyDescent="0.25"/>
  <cols>
    <col min="1" max="1" width="16.125" customWidth="1"/>
  </cols>
  <sheetData>
    <row r="1" spans="1:1" ht="31" x14ac:dyDescent="0.25">
      <c r="A1" s="6" t="str">
        <f ca="1">MID(CELL("filename",A1),FIND("]",CELL("filename",A1))+1,255)</f>
        <v>Inputs &amp; early calcs&gt;</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5A669-0D62-4D35-84C0-CF3A901925E9}">
  <sheetPr>
    <pageSetUpPr autoPageBreaks="0"/>
  </sheetPr>
  <dimension ref="A1:AR70"/>
  <sheetViews>
    <sheetView showGridLines="0" workbookViewId="0">
      <selection activeCell="Q13" sqref="Q13"/>
    </sheetView>
  </sheetViews>
  <sheetFormatPr defaultColWidth="9.375" defaultRowHeight="10.5" outlineLevelRow="1" outlineLevelCol="1" x14ac:dyDescent="0.25"/>
  <cols>
    <col min="1" max="1" width="2.875" style="12" customWidth="1"/>
    <col min="2" max="3" width="13.375" style="12" customWidth="1" outlineLevel="1"/>
    <col min="4" max="5" width="2.875" style="12" customWidth="1"/>
    <col min="6" max="6" width="50.875" style="12" customWidth="1"/>
    <col min="7" max="7" width="9.375" style="12" customWidth="1"/>
    <col min="8" max="8" width="14.875" style="12" customWidth="1"/>
    <col min="9" max="9" width="9.375" style="12" customWidth="1"/>
    <col min="10" max="13" width="2.875" style="12" hidden="1" customWidth="1" outlineLevel="1"/>
    <col min="14" max="14" width="14.875" style="12" customWidth="1" collapsed="1"/>
    <col min="15" max="44" width="14.875" style="12" customWidth="1"/>
    <col min="45" max="16384" width="9.375" style="12"/>
  </cols>
  <sheetData>
    <row r="1" spans="1:19" customFormat="1" ht="15.5" x14ac:dyDescent="0.25">
      <c r="A1" s="5" t="str">
        <f ca="1">MID(CELL("filename",A1),FIND("]",CELL("filename",A1))+1,255)</f>
        <v>General</v>
      </c>
    </row>
    <row r="2" spans="1:19" customFormat="1" ht="12" x14ac:dyDescent="0.3">
      <c r="B2" s="7" t="s">
        <v>1</v>
      </c>
      <c r="C2" s="7" t="s">
        <v>2</v>
      </c>
      <c r="D2" s="7"/>
      <c r="E2" s="8"/>
      <c r="F2" s="8"/>
      <c r="G2" s="8"/>
    </row>
    <row r="3" spans="1:19" s="13" customFormat="1" x14ac:dyDescent="0.25">
      <c r="A3" s="12"/>
      <c r="B3" s="12"/>
      <c r="C3" s="12"/>
      <c r="D3" s="13" t="s">
        <v>65</v>
      </c>
    </row>
    <row r="4" spans="1:19" outlineLevel="1" x14ac:dyDescent="0.25"/>
    <row r="5" spans="1:19" ht="11" outlineLevel="1" thickBot="1" x14ac:dyDescent="0.3">
      <c r="E5" s="9" t="s">
        <v>28</v>
      </c>
      <c r="F5" s="9"/>
    </row>
    <row r="6" spans="1:19" outlineLevel="1" x14ac:dyDescent="0.25"/>
    <row r="7" spans="1:19" outlineLevel="1" x14ac:dyDescent="0.25">
      <c r="B7" s="12" t="s">
        <v>59</v>
      </c>
      <c r="C7" s="12" t="s">
        <v>60</v>
      </c>
      <c r="F7" s="12" t="s">
        <v>29</v>
      </c>
      <c r="H7" s="11" t="s">
        <v>37</v>
      </c>
      <c r="N7" s="14">
        <v>7.0000000000000007E-2</v>
      </c>
      <c r="O7" s="17" t="s">
        <v>31</v>
      </c>
    </row>
    <row r="8" spans="1:19" outlineLevel="1" x14ac:dyDescent="0.25">
      <c r="B8" s="12" t="s">
        <v>59</v>
      </c>
      <c r="F8" s="12" t="s">
        <v>48</v>
      </c>
      <c r="H8" s="11" t="s">
        <v>5</v>
      </c>
      <c r="N8" s="25">
        <v>30</v>
      </c>
      <c r="O8" s="17" t="s">
        <v>49</v>
      </c>
      <c r="S8" s="39"/>
    </row>
    <row r="9" spans="1:19" outlineLevel="1" x14ac:dyDescent="0.25">
      <c r="C9" s="12" t="s">
        <v>91</v>
      </c>
      <c r="F9" s="12" t="s">
        <v>30</v>
      </c>
      <c r="H9" s="11" t="s">
        <v>38</v>
      </c>
      <c r="N9" s="15">
        <v>44742</v>
      </c>
    </row>
    <row r="10" spans="1:19" outlineLevel="1" x14ac:dyDescent="0.25">
      <c r="C10" s="12" t="s">
        <v>90</v>
      </c>
      <c r="F10" s="12" t="s">
        <v>92</v>
      </c>
      <c r="H10" s="11" t="s">
        <v>38</v>
      </c>
      <c r="N10" s="15">
        <v>44378</v>
      </c>
    </row>
    <row r="11" spans="1:19" outlineLevel="1" x14ac:dyDescent="0.25">
      <c r="F11" s="12" t="s">
        <v>93</v>
      </c>
      <c r="H11" s="11" t="s">
        <v>94</v>
      </c>
      <c r="N11" s="25">
        <v>10</v>
      </c>
    </row>
    <row r="12" spans="1:19" outlineLevel="1" x14ac:dyDescent="0.25">
      <c r="C12" s="12" t="s">
        <v>61</v>
      </c>
      <c r="F12" s="12" t="s">
        <v>62</v>
      </c>
      <c r="H12" s="11" t="s">
        <v>38</v>
      </c>
      <c r="N12" s="15">
        <v>44743</v>
      </c>
    </row>
    <row r="13" spans="1:19" outlineLevel="1" x14ac:dyDescent="0.25">
      <c r="F13" s="12" t="s">
        <v>36</v>
      </c>
      <c r="H13" s="11" t="s">
        <v>38</v>
      </c>
      <c r="N13" s="26">
        <f>DATE(YEAR(N12)+N8,MONTH(N12),DAY(N12)-1)</f>
        <v>55700</v>
      </c>
      <c r="O13" s="18"/>
    </row>
    <row r="14" spans="1:19" outlineLevel="1" x14ac:dyDescent="0.25"/>
    <row r="15" spans="1:19" ht="11" outlineLevel="1" thickBot="1" x14ac:dyDescent="0.3">
      <c r="E15" s="9" t="s">
        <v>41</v>
      </c>
      <c r="F15" s="9"/>
    </row>
    <row r="16" spans="1:19" outlineLevel="1" x14ac:dyDescent="0.25">
      <c r="N16" s="39" t="s">
        <v>946</v>
      </c>
    </row>
    <row r="17" spans="5:44" outlineLevel="1" x14ac:dyDescent="0.25">
      <c r="F17" s="12" t="s">
        <v>63</v>
      </c>
      <c r="H17" s="11" t="s">
        <v>39</v>
      </c>
      <c r="N17" s="116">
        <f>YEAR(N9)</f>
        <v>2022</v>
      </c>
      <c r="O17" s="31">
        <f>N17+1</f>
        <v>2023</v>
      </c>
      <c r="P17" s="31">
        <f t="shared" ref="P17:AQ17" si="0">O17+1</f>
        <v>2024</v>
      </c>
      <c r="Q17" s="31">
        <f t="shared" si="0"/>
        <v>2025</v>
      </c>
      <c r="R17" s="31">
        <f t="shared" si="0"/>
        <v>2026</v>
      </c>
      <c r="S17" s="31">
        <f t="shared" si="0"/>
        <v>2027</v>
      </c>
      <c r="T17" s="31">
        <f t="shared" si="0"/>
        <v>2028</v>
      </c>
      <c r="U17" s="31">
        <f t="shared" si="0"/>
        <v>2029</v>
      </c>
      <c r="V17" s="31">
        <f t="shared" si="0"/>
        <v>2030</v>
      </c>
      <c r="W17" s="31">
        <f t="shared" si="0"/>
        <v>2031</v>
      </c>
      <c r="X17" s="31">
        <f t="shared" si="0"/>
        <v>2032</v>
      </c>
      <c r="Y17" s="31">
        <f t="shared" si="0"/>
        <v>2033</v>
      </c>
      <c r="Z17" s="31">
        <f t="shared" si="0"/>
        <v>2034</v>
      </c>
      <c r="AA17" s="31">
        <f t="shared" si="0"/>
        <v>2035</v>
      </c>
      <c r="AB17" s="31">
        <f t="shared" si="0"/>
        <v>2036</v>
      </c>
      <c r="AC17" s="31">
        <f t="shared" si="0"/>
        <v>2037</v>
      </c>
      <c r="AD17" s="31">
        <f t="shared" si="0"/>
        <v>2038</v>
      </c>
      <c r="AE17" s="31">
        <f t="shared" si="0"/>
        <v>2039</v>
      </c>
      <c r="AF17" s="31">
        <f t="shared" si="0"/>
        <v>2040</v>
      </c>
      <c r="AG17" s="31">
        <f t="shared" si="0"/>
        <v>2041</v>
      </c>
      <c r="AH17" s="31">
        <f t="shared" si="0"/>
        <v>2042</v>
      </c>
      <c r="AI17" s="31">
        <f t="shared" si="0"/>
        <v>2043</v>
      </c>
      <c r="AJ17" s="31">
        <f t="shared" si="0"/>
        <v>2044</v>
      </c>
      <c r="AK17" s="31">
        <f t="shared" si="0"/>
        <v>2045</v>
      </c>
      <c r="AL17" s="31">
        <f t="shared" si="0"/>
        <v>2046</v>
      </c>
      <c r="AM17" s="31">
        <f t="shared" si="0"/>
        <v>2047</v>
      </c>
      <c r="AN17" s="31">
        <f t="shared" si="0"/>
        <v>2048</v>
      </c>
      <c r="AO17" s="31">
        <f t="shared" si="0"/>
        <v>2049</v>
      </c>
      <c r="AP17" s="31">
        <f t="shared" si="0"/>
        <v>2050</v>
      </c>
      <c r="AQ17" s="31">
        <f t="shared" si="0"/>
        <v>2051</v>
      </c>
      <c r="AR17" s="31">
        <f>AQ17+1</f>
        <v>2052</v>
      </c>
    </row>
    <row r="18" spans="5:44" outlineLevel="1" x14ac:dyDescent="0.25">
      <c r="F18" s="12" t="s">
        <v>40</v>
      </c>
      <c r="H18" s="11" t="s">
        <v>5</v>
      </c>
      <c r="N18" s="19">
        <v>1</v>
      </c>
      <c r="O18" s="22">
        <f>N18+1</f>
        <v>2</v>
      </c>
      <c r="P18" s="22">
        <f t="shared" ref="P18:AQ19" si="1">O18+1</f>
        <v>3</v>
      </c>
      <c r="Q18" s="22">
        <f t="shared" si="1"/>
        <v>4</v>
      </c>
      <c r="R18" s="22">
        <f t="shared" si="1"/>
        <v>5</v>
      </c>
      <c r="S18" s="22">
        <f t="shared" si="1"/>
        <v>6</v>
      </c>
      <c r="T18" s="22">
        <f t="shared" si="1"/>
        <v>7</v>
      </c>
      <c r="U18" s="22">
        <f t="shared" si="1"/>
        <v>8</v>
      </c>
      <c r="V18" s="22">
        <f t="shared" si="1"/>
        <v>9</v>
      </c>
      <c r="W18" s="22">
        <f t="shared" si="1"/>
        <v>10</v>
      </c>
      <c r="X18" s="22">
        <f t="shared" si="1"/>
        <v>11</v>
      </c>
      <c r="Y18" s="22">
        <f t="shared" si="1"/>
        <v>12</v>
      </c>
      <c r="Z18" s="22">
        <f t="shared" si="1"/>
        <v>13</v>
      </c>
      <c r="AA18" s="22">
        <f t="shared" si="1"/>
        <v>14</v>
      </c>
      <c r="AB18" s="22">
        <f t="shared" si="1"/>
        <v>15</v>
      </c>
      <c r="AC18" s="22">
        <f t="shared" si="1"/>
        <v>16</v>
      </c>
      <c r="AD18" s="22">
        <f t="shared" si="1"/>
        <v>17</v>
      </c>
      <c r="AE18" s="22">
        <f t="shared" si="1"/>
        <v>18</v>
      </c>
      <c r="AF18" s="22">
        <f t="shared" si="1"/>
        <v>19</v>
      </c>
      <c r="AG18" s="22">
        <f t="shared" si="1"/>
        <v>20</v>
      </c>
      <c r="AH18" s="22">
        <f t="shared" si="1"/>
        <v>21</v>
      </c>
      <c r="AI18" s="22">
        <f t="shared" si="1"/>
        <v>22</v>
      </c>
      <c r="AJ18" s="22">
        <f t="shared" si="1"/>
        <v>23</v>
      </c>
      <c r="AK18" s="22">
        <f t="shared" si="1"/>
        <v>24</v>
      </c>
      <c r="AL18" s="22">
        <f t="shared" si="1"/>
        <v>25</v>
      </c>
      <c r="AM18" s="22">
        <f t="shared" si="1"/>
        <v>26</v>
      </c>
      <c r="AN18" s="22">
        <f t="shared" si="1"/>
        <v>27</v>
      </c>
      <c r="AO18" s="22">
        <f t="shared" si="1"/>
        <v>28</v>
      </c>
      <c r="AP18" s="22">
        <f t="shared" si="1"/>
        <v>29</v>
      </c>
      <c r="AQ18" s="22">
        <f t="shared" si="1"/>
        <v>30</v>
      </c>
      <c r="AR18" s="22">
        <f>AQ18+1</f>
        <v>31</v>
      </c>
    </row>
    <row r="19" spans="5:44" outlineLevel="1" x14ac:dyDescent="0.25">
      <c r="F19" s="12" t="s">
        <v>95</v>
      </c>
      <c r="H19" s="11" t="s">
        <v>5</v>
      </c>
      <c r="N19" s="19">
        <v>1</v>
      </c>
      <c r="O19" s="22">
        <f>N19+1</f>
        <v>2</v>
      </c>
      <c r="P19" s="22">
        <f t="shared" si="1"/>
        <v>3</v>
      </c>
      <c r="Q19" s="22">
        <f t="shared" si="1"/>
        <v>4</v>
      </c>
      <c r="R19" s="22">
        <f t="shared" si="1"/>
        <v>5</v>
      </c>
      <c r="S19" s="22">
        <f t="shared" si="1"/>
        <v>6</v>
      </c>
      <c r="T19" s="22">
        <f t="shared" si="1"/>
        <v>7</v>
      </c>
      <c r="U19" s="22">
        <f t="shared" si="1"/>
        <v>8</v>
      </c>
      <c r="V19" s="22">
        <f t="shared" si="1"/>
        <v>9</v>
      </c>
      <c r="W19" s="22">
        <f t="shared" si="1"/>
        <v>10</v>
      </c>
      <c r="X19" s="46" t="s">
        <v>441</v>
      </c>
      <c r="Y19" s="46" t="s">
        <v>441</v>
      </c>
      <c r="Z19" s="46" t="s">
        <v>441</v>
      </c>
      <c r="AA19" s="46" t="s">
        <v>441</v>
      </c>
      <c r="AB19" s="46" t="s">
        <v>441</v>
      </c>
      <c r="AC19" s="46" t="s">
        <v>441</v>
      </c>
      <c r="AD19" s="46" t="s">
        <v>441</v>
      </c>
      <c r="AE19" s="46" t="s">
        <v>441</v>
      </c>
      <c r="AF19" s="46" t="s">
        <v>441</v>
      </c>
      <c r="AG19" s="46" t="s">
        <v>441</v>
      </c>
      <c r="AH19" s="46" t="s">
        <v>441</v>
      </c>
      <c r="AI19" s="46" t="s">
        <v>441</v>
      </c>
      <c r="AJ19" s="46" t="s">
        <v>441</v>
      </c>
      <c r="AK19" s="46" t="s">
        <v>441</v>
      </c>
      <c r="AL19" s="46" t="s">
        <v>441</v>
      </c>
      <c r="AM19" s="46" t="s">
        <v>441</v>
      </c>
      <c r="AN19" s="46" t="s">
        <v>441</v>
      </c>
      <c r="AO19" s="46" t="s">
        <v>441</v>
      </c>
      <c r="AP19" s="46" t="s">
        <v>441</v>
      </c>
      <c r="AQ19" s="46" t="s">
        <v>441</v>
      </c>
      <c r="AR19" s="46" t="s">
        <v>441</v>
      </c>
    </row>
    <row r="20" spans="5:44" outlineLevel="1" x14ac:dyDescent="0.25">
      <c r="F20" s="12" t="s">
        <v>96</v>
      </c>
      <c r="H20" s="11" t="s">
        <v>37</v>
      </c>
      <c r="N20" s="14">
        <v>0</v>
      </c>
      <c r="O20" s="14">
        <v>0.2</v>
      </c>
      <c r="P20" s="40">
        <f>O20+0.8/9</f>
        <v>0.28888888888888892</v>
      </c>
      <c r="Q20" s="40">
        <f t="shared" ref="Q20:X20" si="2">P20+0.8/9</f>
        <v>0.37777777777777782</v>
      </c>
      <c r="R20" s="40">
        <f t="shared" si="2"/>
        <v>0.46666666666666673</v>
      </c>
      <c r="S20" s="40">
        <f t="shared" si="2"/>
        <v>0.55555555555555558</v>
      </c>
      <c r="T20" s="40">
        <f t="shared" si="2"/>
        <v>0.64444444444444449</v>
      </c>
      <c r="U20" s="40">
        <f t="shared" si="2"/>
        <v>0.73333333333333339</v>
      </c>
      <c r="V20" s="40">
        <f t="shared" si="2"/>
        <v>0.8222222222222223</v>
      </c>
      <c r="W20" s="40">
        <f t="shared" si="2"/>
        <v>0.9111111111111112</v>
      </c>
      <c r="X20" s="40">
        <f t="shared" si="2"/>
        <v>1</v>
      </c>
      <c r="Y20" s="40">
        <f>X20</f>
        <v>1</v>
      </c>
      <c r="Z20" s="40">
        <f t="shared" ref="Z20:AR20" si="3">Y20</f>
        <v>1</v>
      </c>
      <c r="AA20" s="40">
        <f t="shared" si="3"/>
        <v>1</v>
      </c>
      <c r="AB20" s="40">
        <f t="shared" si="3"/>
        <v>1</v>
      </c>
      <c r="AC20" s="40">
        <f t="shared" si="3"/>
        <v>1</v>
      </c>
      <c r="AD20" s="40">
        <f t="shared" si="3"/>
        <v>1</v>
      </c>
      <c r="AE20" s="40">
        <f t="shared" si="3"/>
        <v>1</v>
      </c>
      <c r="AF20" s="40">
        <f t="shared" si="3"/>
        <v>1</v>
      </c>
      <c r="AG20" s="40">
        <f t="shared" si="3"/>
        <v>1</v>
      </c>
      <c r="AH20" s="40">
        <f t="shared" si="3"/>
        <v>1</v>
      </c>
      <c r="AI20" s="40">
        <f t="shared" si="3"/>
        <v>1</v>
      </c>
      <c r="AJ20" s="40">
        <f t="shared" si="3"/>
        <v>1</v>
      </c>
      <c r="AK20" s="40">
        <f t="shared" si="3"/>
        <v>1</v>
      </c>
      <c r="AL20" s="40">
        <f t="shared" si="3"/>
        <v>1</v>
      </c>
      <c r="AM20" s="40">
        <f t="shared" si="3"/>
        <v>1</v>
      </c>
      <c r="AN20" s="40">
        <f t="shared" si="3"/>
        <v>1</v>
      </c>
      <c r="AO20" s="40">
        <f t="shared" si="3"/>
        <v>1</v>
      </c>
      <c r="AP20" s="40">
        <f t="shared" si="3"/>
        <v>1</v>
      </c>
      <c r="AQ20" s="40">
        <f t="shared" si="3"/>
        <v>1</v>
      </c>
      <c r="AR20" s="40">
        <f t="shared" si="3"/>
        <v>1</v>
      </c>
    </row>
    <row r="21" spans="5:44" outlineLevel="1" x14ac:dyDescent="0.25">
      <c r="F21" s="12" t="s">
        <v>42</v>
      </c>
      <c r="H21" s="11" t="s">
        <v>5</v>
      </c>
      <c r="N21" s="22">
        <f>IF(N17&lt;=YEAR($N$12),0,IF(N17=YEAR($N$12)+1,1,I21+1))</f>
        <v>0</v>
      </c>
      <c r="O21" s="22">
        <f t="shared" ref="O21:AR21" si="4">IF(O17&lt;=YEAR($N$12),0,IF(O17=YEAR($N$12)+1,1,N21+1))</f>
        <v>1</v>
      </c>
      <c r="P21" s="22">
        <f t="shared" si="4"/>
        <v>2</v>
      </c>
      <c r="Q21" s="22">
        <f t="shared" si="4"/>
        <v>3</v>
      </c>
      <c r="R21" s="22">
        <f t="shared" si="4"/>
        <v>4</v>
      </c>
      <c r="S21" s="22">
        <f t="shared" si="4"/>
        <v>5</v>
      </c>
      <c r="T21" s="22">
        <f t="shared" si="4"/>
        <v>6</v>
      </c>
      <c r="U21" s="22">
        <f t="shared" si="4"/>
        <v>7</v>
      </c>
      <c r="V21" s="22">
        <f t="shared" si="4"/>
        <v>8</v>
      </c>
      <c r="W21" s="22">
        <f t="shared" si="4"/>
        <v>9</v>
      </c>
      <c r="X21" s="22">
        <f t="shared" si="4"/>
        <v>10</v>
      </c>
      <c r="Y21" s="22">
        <f t="shared" si="4"/>
        <v>11</v>
      </c>
      <c r="Z21" s="22">
        <f t="shared" si="4"/>
        <v>12</v>
      </c>
      <c r="AA21" s="22">
        <f t="shared" si="4"/>
        <v>13</v>
      </c>
      <c r="AB21" s="22">
        <f t="shared" si="4"/>
        <v>14</v>
      </c>
      <c r="AC21" s="22">
        <f t="shared" si="4"/>
        <v>15</v>
      </c>
      <c r="AD21" s="22">
        <f t="shared" si="4"/>
        <v>16</v>
      </c>
      <c r="AE21" s="22">
        <f t="shared" si="4"/>
        <v>17</v>
      </c>
      <c r="AF21" s="22">
        <f t="shared" si="4"/>
        <v>18</v>
      </c>
      <c r="AG21" s="22">
        <f t="shared" si="4"/>
        <v>19</v>
      </c>
      <c r="AH21" s="22">
        <f t="shared" si="4"/>
        <v>20</v>
      </c>
      <c r="AI21" s="22">
        <f t="shared" si="4"/>
        <v>21</v>
      </c>
      <c r="AJ21" s="22">
        <f t="shared" si="4"/>
        <v>22</v>
      </c>
      <c r="AK21" s="22">
        <f t="shared" si="4"/>
        <v>23</v>
      </c>
      <c r="AL21" s="22">
        <f t="shared" si="4"/>
        <v>24</v>
      </c>
      <c r="AM21" s="22">
        <f t="shared" si="4"/>
        <v>25</v>
      </c>
      <c r="AN21" s="22">
        <f t="shared" si="4"/>
        <v>26</v>
      </c>
      <c r="AO21" s="22">
        <f t="shared" si="4"/>
        <v>27</v>
      </c>
      <c r="AP21" s="22">
        <f t="shared" si="4"/>
        <v>28</v>
      </c>
      <c r="AQ21" s="22">
        <f t="shared" si="4"/>
        <v>29</v>
      </c>
      <c r="AR21" s="22">
        <f t="shared" si="4"/>
        <v>30</v>
      </c>
    </row>
    <row r="22" spans="5:44" outlineLevel="1" x14ac:dyDescent="0.25">
      <c r="F22" s="12" t="s">
        <v>566</v>
      </c>
      <c r="H22" s="11" t="s">
        <v>5</v>
      </c>
      <c r="N22" s="27">
        <f>1/(1+DiscRate)^(N17-$N$17)</f>
        <v>1</v>
      </c>
      <c r="O22" s="27">
        <f t="shared" ref="O22:AR22" si="5">1/(1+DiscRate)^(O17-$N$17)</f>
        <v>0.93457943925233644</v>
      </c>
      <c r="P22" s="27">
        <f t="shared" si="5"/>
        <v>0.87343872827321156</v>
      </c>
      <c r="Q22" s="27">
        <f t="shared" si="5"/>
        <v>0.81629787689085187</v>
      </c>
      <c r="R22" s="27">
        <f t="shared" si="5"/>
        <v>0.7628952120475252</v>
      </c>
      <c r="S22" s="27">
        <f t="shared" si="5"/>
        <v>0.71298617948366838</v>
      </c>
      <c r="T22" s="27">
        <f t="shared" si="5"/>
        <v>0.66634222381651254</v>
      </c>
      <c r="U22" s="27">
        <f t="shared" si="5"/>
        <v>0.62274974188459109</v>
      </c>
      <c r="V22" s="27">
        <f t="shared" si="5"/>
        <v>0.5820091045650384</v>
      </c>
      <c r="W22" s="27">
        <f t="shared" si="5"/>
        <v>0.54393374258414806</v>
      </c>
      <c r="X22" s="27">
        <f t="shared" si="5"/>
        <v>0.5083492921347178</v>
      </c>
      <c r="Y22" s="27">
        <f t="shared" si="5"/>
        <v>0.47509279638758667</v>
      </c>
      <c r="Z22" s="27">
        <f t="shared" si="5"/>
        <v>0.44401195924073528</v>
      </c>
      <c r="AA22" s="27">
        <f t="shared" si="5"/>
        <v>0.41496444788853759</v>
      </c>
      <c r="AB22" s="27">
        <f t="shared" si="5"/>
        <v>0.3878172410173249</v>
      </c>
      <c r="AC22" s="27">
        <f t="shared" si="5"/>
        <v>0.36244601964235967</v>
      </c>
      <c r="AD22" s="27">
        <f t="shared" si="5"/>
        <v>0.33873459779659787</v>
      </c>
      <c r="AE22" s="27">
        <f t="shared" si="5"/>
        <v>0.31657439046411018</v>
      </c>
      <c r="AF22" s="27">
        <f t="shared" si="5"/>
        <v>0.29586391632159825</v>
      </c>
      <c r="AG22" s="27">
        <f t="shared" si="5"/>
        <v>0.27650833301083949</v>
      </c>
      <c r="AH22" s="27">
        <f t="shared" si="5"/>
        <v>0.2584190028138687</v>
      </c>
      <c r="AI22" s="27">
        <f t="shared" si="5"/>
        <v>0.24151308674193336</v>
      </c>
      <c r="AJ22" s="27">
        <f t="shared" si="5"/>
        <v>0.22571316517937698</v>
      </c>
      <c r="AK22" s="27">
        <f t="shared" si="5"/>
        <v>0.21094688334521211</v>
      </c>
      <c r="AL22" s="27">
        <f t="shared" si="5"/>
        <v>0.19714661994879637</v>
      </c>
      <c r="AM22" s="27">
        <f t="shared" si="5"/>
        <v>0.18424917752223957</v>
      </c>
      <c r="AN22" s="27">
        <f t="shared" si="5"/>
        <v>0.17219549301143888</v>
      </c>
      <c r="AO22" s="27">
        <f t="shared" si="5"/>
        <v>0.16093036730041013</v>
      </c>
      <c r="AP22" s="27">
        <f t="shared" si="5"/>
        <v>0.15040221243028987</v>
      </c>
      <c r="AQ22" s="27">
        <f t="shared" si="5"/>
        <v>0.1405628153554111</v>
      </c>
      <c r="AR22" s="27">
        <f t="shared" si="5"/>
        <v>0.13136711715458982</v>
      </c>
    </row>
    <row r="23" spans="5:44" outlineLevel="1" x14ac:dyDescent="0.25">
      <c r="F23" s="12" t="s">
        <v>567</v>
      </c>
      <c r="H23" s="11" t="s">
        <v>5</v>
      </c>
      <c r="N23" s="27">
        <f>1/(1.04)^(N17-$N$17)</f>
        <v>1</v>
      </c>
      <c r="O23" s="27">
        <f>1/(1.04)^(O17-$N$17)</f>
        <v>0.96153846153846145</v>
      </c>
      <c r="P23" s="27">
        <f t="shared" ref="P23:AR23" si="6">1/(1.04)^(P17-$N$17)</f>
        <v>0.92455621301775137</v>
      </c>
      <c r="Q23" s="27">
        <f t="shared" si="6"/>
        <v>0.88899635867091487</v>
      </c>
      <c r="R23" s="27">
        <f t="shared" si="6"/>
        <v>0.85480419102972571</v>
      </c>
      <c r="S23" s="27">
        <f t="shared" si="6"/>
        <v>0.82192710675935154</v>
      </c>
      <c r="T23" s="27">
        <f t="shared" si="6"/>
        <v>0.79031452573014571</v>
      </c>
      <c r="U23" s="27">
        <f t="shared" si="6"/>
        <v>0.75991781320206331</v>
      </c>
      <c r="V23" s="27">
        <f t="shared" si="6"/>
        <v>0.73069020500198378</v>
      </c>
      <c r="W23" s="27">
        <f t="shared" si="6"/>
        <v>0.70258673557883045</v>
      </c>
      <c r="X23" s="27">
        <f t="shared" si="6"/>
        <v>0.67556416882579851</v>
      </c>
      <c r="Y23" s="27">
        <f t="shared" si="6"/>
        <v>0.6495809315632679</v>
      </c>
      <c r="Z23" s="27">
        <f t="shared" si="6"/>
        <v>0.62459704958006512</v>
      </c>
      <c r="AA23" s="27">
        <f t="shared" si="6"/>
        <v>0.600574086134678</v>
      </c>
      <c r="AB23" s="27">
        <f t="shared" si="6"/>
        <v>0.57747508282180582</v>
      </c>
      <c r="AC23" s="27">
        <f t="shared" si="6"/>
        <v>0.55526450271327477</v>
      </c>
      <c r="AD23" s="27">
        <f t="shared" si="6"/>
        <v>0.53390817568584104</v>
      </c>
      <c r="AE23" s="27">
        <f t="shared" si="6"/>
        <v>0.51337324585177024</v>
      </c>
      <c r="AF23" s="27">
        <f t="shared" si="6"/>
        <v>0.49362812101131748</v>
      </c>
      <c r="AG23" s="27">
        <f t="shared" si="6"/>
        <v>0.47464242404934376</v>
      </c>
      <c r="AH23" s="27">
        <f t="shared" si="6"/>
        <v>0.45638694620129205</v>
      </c>
      <c r="AI23" s="27">
        <f t="shared" si="6"/>
        <v>0.43883360211662686</v>
      </c>
      <c r="AJ23" s="27">
        <f t="shared" si="6"/>
        <v>0.42195538665060278</v>
      </c>
      <c r="AK23" s="27">
        <f t="shared" si="6"/>
        <v>0.40572633331788732</v>
      </c>
      <c r="AL23" s="27">
        <f t="shared" si="6"/>
        <v>0.39012147434412242</v>
      </c>
      <c r="AM23" s="27">
        <f t="shared" si="6"/>
        <v>0.37511680225396377</v>
      </c>
      <c r="AN23" s="27">
        <f t="shared" si="6"/>
        <v>0.36068923293650368</v>
      </c>
      <c r="AO23" s="27">
        <f t="shared" si="6"/>
        <v>0.3468165701312535</v>
      </c>
      <c r="AP23" s="27">
        <f t="shared" si="6"/>
        <v>0.3334774712800514</v>
      </c>
      <c r="AQ23" s="27">
        <f t="shared" si="6"/>
        <v>0.32065141469235708</v>
      </c>
      <c r="AR23" s="27">
        <f t="shared" si="6"/>
        <v>0.30831866797342034</v>
      </c>
    </row>
    <row r="24" spans="5:44" outlineLevel="1" x14ac:dyDescent="0.25">
      <c r="F24" s="12" t="s">
        <v>568</v>
      </c>
      <c r="H24" s="11" t="s">
        <v>5</v>
      </c>
      <c r="N24" s="27">
        <f>1/(1.1)^(N17-$N$17)</f>
        <v>1</v>
      </c>
      <c r="O24" s="27">
        <f>1/(1.1)^(O17-$N$17)</f>
        <v>0.90909090909090906</v>
      </c>
      <c r="P24" s="27">
        <f t="shared" ref="P24:AR24" si="7">1/(1.1)^(P17-$N$17)</f>
        <v>0.82644628099173545</v>
      </c>
      <c r="Q24" s="27">
        <f t="shared" si="7"/>
        <v>0.75131480090157754</v>
      </c>
      <c r="R24" s="27">
        <f t="shared" si="7"/>
        <v>0.68301345536507052</v>
      </c>
      <c r="S24" s="27">
        <f t="shared" si="7"/>
        <v>0.62092132305915493</v>
      </c>
      <c r="T24" s="27">
        <f t="shared" si="7"/>
        <v>0.56447393005377722</v>
      </c>
      <c r="U24" s="27">
        <f t="shared" si="7"/>
        <v>0.51315811823070645</v>
      </c>
      <c r="V24" s="27">
        <f t="shared" si="7"/>
        <v>0.46650738020973315</v>
      </c>
      <c r="W24" s="27">
        <f t="shared" si="7"/>
        <v>0.42409761837248466</v>
      </c>
      <c r="X24" s="27">
        <f t="shared" si="7"/>
        <v>0.38554328942953148</v>
      </c>
      <c r="Y24" s="27">
        <f t="shared" si="7"/>
        <v>0.3504938994813922</v>
      </c>
      <c r="Z24" s="27">
        <f t="shared" si="7"/>
        <v>0.31863081771035656</v>
      </c>
      <c r="AA24" s="27">
        <f t="shared" si="7"/>
        <v>0.28966437973668779</v>
      </c>
      <c r="AB24" s="27">
        <f t="shared" si="7"/>
        <v>0.26333125430607973</v>
      </c>
      <c r="AC24" s="27">
        <f t="shared" si="7"/>
        <v>0.23939204936916339</v>
      </c>
      <c r="AD24" s="27">
        <f t="shared" si="7"/>
        <v>0.21762913579014853</v>
      </c>
      <c r="AE24" s="27">
        <f t="shared" si="7"/>
        <v>0.19784466890013502</v>
      </c>
      <c r="AF24" s="27">
        <f t="shared" si="7"/>
        <v>0.17985878990921364</v>
      </c>
      <c r="AG24" s="27">
        <f t="shared" si="7"/>
        <v>0.16350799082655781</v>
      </c>
      <c r="AH24" s="27">
        <f t="shared" si="7"/>
        <v>0.14864362802414349</v>
      </c>
      <c r="AI24" s="27">
        <f t="shared" si="7"/>
        <v>0.13513057093103953</v>
      </c>
      <c r="AJ24" s="27">
        <f t="shared" si="7"/>
        <v>0.12284597357367227</v>
      </c>
      <c r="AK24" s="27">
        <f t="shared" si="7"/>
        <v>0.11167815779424752</v>
      </c>
      <c r="AL24" s="27">
        <f t="shared" si="7"/>
        <v>0.10152559799477048</v>
      </c>
      <c r="AM24" s="27">
        <f t="shared" si="7"/>
        <v>9.2295998177064048E-2</v>
      </c>
      <c r="AN24" s="27">
        <f t="shared" si="7"/>
        <v>8.3905452888240042E-2</v>
      </c>
      <c r="AO24" s="27">
        <f t="shared" si="7"/>
        <v>7.6277684443854576E-2</v>
      </c>
      <c r="AP24" s="27">
        <f t="shared" si="7"/>
        <v>6.9343349494413245E-2</v>
      </c>
      <c r="AQ24" s="27">
        <f t="shared" si="7"/>
        <v>6.3039408631284766E-2</v>
      </c>
      <c r="AR24" s="27">
        <f t="shared" si="7"/>
        <v>5.7308553301167964E-2</v>
      </c>
    </row>
    <row r="25" spans="5:44" outlineLevel="1" x14ac:dyDescent="0.25"/>
    <row r="26" spans="5:44" ht="11" outlineLevel="1" thickBot="1" x14ac:dyDescent="0.3">
      <c r="E26" s="9" t="s">
        <v>3</v>
      </c>
      <c r="F26" s="9"/>
    </row>
    <row r="27" spans="5:44" outlineLevel="1" x14ac:dyDescent="0.25"/>
    <row r="28" spans="5:44" outlineLevel="1" x14ac:dyDescent="0.25">
      <c r="F28" s="12" t="s">
        <v>4</v>
      </c>
      <c r="H28" s="11" t="s">
        <v>5</v>
      </c>
      <c r="N28" s="25">
        <v>60</v>
      </c>
      <c r="O28" s="17" t="s">
        <v>6</v>
      </c>
    </row>
    <row r="29" spans="5:44" outlineLevel="1" x14ac:dyDescent="0.25">
      <c r="F29" s="12" t="s">
        <v>7</v>
      </c>
      <c r="H29" s="11" t="s">
        <v>5</v>
      </c>
      <c r="N29" s="25">
        <v>24</v>
      </c>
      <c r="O29" s="17" t="s">
        <v>8</v>
      </c>
    </row>
    <row r="30" spans="5:44" outlineLevel="1" x14ac:dyDescent="0.25">
      <c r="F30" s="12" t="s">
        <v>9</v>
      </c>
      <c r="H30" s="11" t="s">
        <v>5</v>
      </c>
      <c r="N30" s="25">
        <v>12</v>
      </c>
      <c r="O30" s="17" t="s">
        <v>10</v>
      </c>
    </row>
    <row r="31" spans="5:44" outlineLevel="1" x14ac:dyDescent="0.25">
      <c r="F31" s="12" t="s">
        <v>11</v>
      </c>
      <c r="H31" s="11" t="s">
        <v>5</v>
      </c>
      <c r="N31" s="25">
        <v>52</v>
      </c>
      <c r="O31" s="17" t="s">
        <v>12</v>
      </c>
    </row>
    <row r="32" spans="5:44" outlineLevel="1" x14ac:dyDescent="0.25">
      <c r="F32" s="12" t="s">
        <v>13</v>
      </c>
      <c r="H32" s="11" t="s">
        <v>5</v>
      </c>
      <c r="N32" s="25">
        <v>10</v>
      </c>
      <c r="O32" s="17" t="s">
        <v>14</v>
      </c>
    </row>
    <row r="33" spans="1:15" outlineLevel="1" x14ac:dyDescent="0.25">
      <c r="O33" s="10"/>
    </row>
    <row r="34" spans="1:15" ht="11" outlineLevel="1" thickBot="1" x14ac:dyDescent="0.3">
      <c r="E34" s="1" t="s">
        <v>15</v>
      </c>
      <c r="F34" s="1"/>
      <c r="O34" s="10"/>
    </row>
    <row r="35" spans="1:15" outlineLevel="1" x14ac:dyDescent="0.25">
      <c r="O35" s="10"/>
    </row>
    <row r="36" spans="1:15" outlineLevel="1" x14ac:dyDescent="0.25">
      <c r="F36" s="12" t="s">
        <v>16</v>
      </c>
      <c r="H36" s="11" t="s">
        <v>5</v>
      </c>
      <c r="N36" s="25">
        <v>100000000</v>
      </c>
      <c r="O36" s="17" t="s">
        <v>17</v>
      </c>
    </row>
    <row r="37" spans="1:15" outlineLevel="1" x14ac:dyDescent="0.25">
      <c r="F37" s="12" t="s">
        <v>18</v>
      </c>
      <c r="H37" s="11" t="s">
        <v>5</v>
      </c>
      <c r="N37" s="25">
        <v>1000000</v>
      </c>
      <c r="O37" s="17" t="s">
        <v>19</v>
      </c>
    </row>
    <row r="38" spans="1:15" outlineLevel="1" x14ac:dyDescent="0.25">
      <c r="F38" s="12" t="s">
        <v>20</v>
      </c>
      <c r="H38" s="11" t="s">
        <v>5</v>
      </c>
      <c r="N38" s="25">
        <v>1000</v>
      </c>
      <c r="O38" s="17" t="s">
        <v>21</v>
      </c>
    </row>
    <row r="39" spans="1:15" outlineLevel="1" x14ac:dyDescent="0.25">
      <c r="F39" s="12" t="s">
        <v>22</v>
      </c>
      <c r="H39" s="11" t="s">
        <v>5</v>
      </c>
      <c r="N39" s="25">
        <v>100</v>
      </c>
      <c r="O39" s="17" t="s">
        <v>23</v>
      </c>
    </row>
    <row r="40" spans="1:15" outlineLevel="1" x14ac:dyDescent="0.25">
      <c r="O40" s="10"/>
    </row>
    <row r="41" spans="1:15" ht="11" outlineLevel="1" thickBot="1" x14ac:dyDescent="0.3">
      <c r="E41" s="1" t="s">
        <v>24</v>
      </c>
      <c r="F41" s="1"/>
      <c r="O41" s="10"/>
    </row>
    <row r="42" spans="1:15" outlineLevel="1" x14ac:dyDescent="0.25">
      <c r="O42" s="10"/>
    </row>
    <row r="43" spans="1:15" outlineLevel="1" x14ac:dyDescent="0.25">
      <c r="F43" s="12" t="s">
        <v>25</v>
      </c>
      <c r="H43" s="11" t="s">
        <v>26</v>
      </c>
      <c r="N43" s="16" t="s">
        <v>34</v>
      </c>
      <c r="O43" s="17" t="s">
        <v>32</v>
      </c>
    </row>
    <row r="44" spans="1:15" outlineLevel="1" x14ac:dyDescent="0.25">
      <c r="F44" s="12" t="s">
        <v>27</v>
      </c>
      <c r="H44" s="11" t="s">
        <v>26</v>
      </c>
      <c r="N44" s="16" t="s">
        <v>35</v>
      </c>
      <c r="O44" s="17" t="s">
        <v>33</v>
      </c>
    </row>
    <row r="47" spans="1:15" s="13" customFormat="1" x14ac:dyDescent="0.25">
      <c r="A47" s="12"/>
      <c r="B47" s="12"/>
      <c r="C47" s="12"/>
      <c r="D47" s="13" t="s">
        <v>47</v>
      </c>
    </row>
    <row r="48" spans="1:15" outlineLevel="1" x14ac:dyDescent="0.25"/>
    <row r="49" spans="1:15" ht="11" outlineLevel="1" thickBot="1" x14ac:dyDescent="0.3">
      <c r="E49" s="1" t="s">
        <v>50</v>
      </c>
      <c r="F49" s="1"/>
    </row>
    <row r="50" spans="1:15" outlineLevel="1" x14ac:dyDescent="0.25"/>
    <row r="51" spans="1:15" outlineLevel="1" x14ac:dyDescent="0.25">
      <c r="B51" s="52" t="s">
        <v>64</v>
      </c>
      <c r="F51" s="12" t="s">
        <v>546</v>
      </c>
      <c r="H51" s="11"/>
      <c r="N51" s="20">
        <v>1.2401</v>
      </c>
      <c r="O51" s="17" t="s">
        <v>548</v>
      </c>
    </row>
    <row r="52" spans="1:15" outlineLevel="1" x14ac:dyDescent="0.25">
      <c r="B52" s="12" t="s">
        <v>584</v>
      </c>
      <c r="C52" s="12" t="s">
        <v>585</v>
      </c>
      <c r="F52" s="12" t="s">
        <v>547</v>
      </c>
      <c r="H52" s="11"/>
      <c r="N52" s="20">
        <v>1.1774</v>
      </c>
      <c r="O52" s="17" t="s">
        <v>549</v>
      </c>
    </row>
    <row r="54" spans="1:15" x14ac:dyDescent="0.25">
      <c r="H54" s="11"/>
    </row>
    <row r="55" spans="1:15" s="13" customFormat="1" x14ac:dyDescent="0.25">
      <c r="A55" s="12"/>
      <c r="B55" s="12"/>
      <c r="C55" s="12"/>
      <c r="D55" s="13" t="s">
        <v>71</v>
      </c>
    </row>
    <row r="56" spans="1:15" outlineLevel="1" x14ac:dyDescent="0.25"/>
    <row r="57" spans="1:15" ht="11" outlineLevel="1" thickBot="1" x14ac:dyDescent="0.3">
      <c r="E57" s="1" t="s">
        <v>29</v>
      </c>
      <c r="F57" s="1"/>
    </row>
    <row r="58" spans="1:15" outlineLevel="1" x14ac:dyDescent="0.25"/>
    <row r="59" spans="1:15" outlineLevel="1" x14ac:dyDescent="0.25">
      <c r="B59" s="12" t="s">
        <v>64</v>
      </c>
      <c r="C59" s="12" t="s">
        <v>932</v>
      </c>
      <c r="F59" s="12" t="s">
        <v>72</v>
      </c>
      <c r="H59" s="11" t="s">
        <v>37</v>
      </c>
      <c r="N59" s="14">
        <v>0.04</v>
      </c>
      <c r="O59" s="17" t="s">
        <v>74</v>
      </c>
    </row>
    <row r="60" spans="1:15" outlineLevel="1" x14ac:dyDescent="0.25">
      <c r="F60" s="12" t="s">
        <v>73</v>
      </c>
      <c r="H60" s="11" t="s">
        <v>37</v>
      </c>
      <c r="N60" s="14">
        <v>0.1</v>
      </c>
      <c r="O60" s="17" t="s">
        <v>75</v>
      </c>
    </row>
    <row r="61" spans="1:15" outlineLevel="1" x14ac:dyDescent="0.25"/>
    <row r="62" spans="1:15" ht="11" outlineLevel="1" thickBot="1" x14ac:dyDescent="0.3">
      <c r="E62" s="1" t="s">
        <v>76</v>
      </c>
      <c r="F62" s="1"/>
    </row>
    <row r="63" spans="1:15" outlineLevel="1" x14ac:dyDescent="0.25"/>
    <row r="64" spans="1:15" outlineLevel="1" x14ac:dyDescent="0.25">
      <c r="F64" s="12" t="s">
        <v>79</v>
      </c>
      <c r="H64" s="11" t="s">
        <v>37</v>
      </c>
      <c r="N64" s="14">
        <v>0.8</v>
      </c>
      <c r="O64" s="17" t="s">
        <v>77</v>
      </c>
    </row>
    <row r="65" spans="5:15" outlineLevel="1" x14ac:dyDescent="0.25">
      <c r="F65" s="12" t="s">
        <v>80</v>
      </c>
      <c r="H65" s="11" t="s">
        <v>37</v>
      </c>
      <c r="N65" s="14">
        <v>1.2</v>
      </c>
      <c r="O65" s="17" t="s">
        <v>78</v>
      </c>
    </row>
    <row r="66" spans="5:15" outlineLevel="1" x14ac:dyDescent="0.25"/>
    <row r="67" spans="5:15" ht="11" outlineLevel="1" thickBot="1" x14ac:dyDescent="0.3">
      <c r="E67" s="1" t="s">
        <v>0</v>
      </c>
      <c r="F67" s="1"/>
    </row>
    <row r="68" spans="5:15" outlineLevel="1" x14ac:dyDescent="0.25"/>
    <row r="69" spans="5:15" outlineLevel="1" x14ac:dyDescent="0.25">
      <c r="F69" s="12" t="s">
        <v>81</v>
      </c>
      <c r="H69" s="11" t="s">
        <v>37</v>
      </c>
      <c r="N69" s="14">
        <v>0.8</v>
      </c>
      <c r="O69" s="17" t="s">
        <v>83</v>
      </c>
    </row>
    <row r="70" spans="5:15" outlineLevel="1" x14ac:dyDescent="0.25">
      <c r="F70" s="12" t="s">
        <v>82</v>
      </c>
      <c r="H70" s="11" t="s">
        <v>37</v>
      </c>
      <c r="N70" s="14">
        <v>1.2</v>
      </c>
      <c r="O70" s="17" t="s">
        <v>84</v>
      </c>
    </row>
  </sheetData>
  <hyperlinks>
    <hyperlink ref="B7" r:id="rId1" xr:uid="{B2D35B28-1AA5-414F-BF07-D412CAAF4FE7}"/>
    <hyperlink ref="B8" r:id="rId2" xr:uid="{CD5770C0-6CCD-4231-8163-D081DAE7DD2E}"/>
    <hyperlink ref="B51" r:id="rId3" xr:uid="{79403453-6CC8-4B55-8C06-1FBC03693454}"/>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B8E03-33E5-4AA7-8CB9-A1CCAD2E984F}">
  <sheetPr>
    <pageSetUpPr autoPageBreaks="0"/>
  </sheetPr>
  <dimension ref="A1:Y213"/>
  <sheetViews>
    <sheetView showGridLines="0" workbookViewId="0">
      <selection activeCell="D2" sqref="D2"/>
    </sheetView>
  </sheetViews>
  <sheetFormatPr defaultColWidth="9.375" defaultRowHeight="10.5" outlineLevelCol="1" x14ac:dyDescent="0.25"/>
  <cols>
    <col min="1" max="1" width="2.875" style="12" customWidth="1"/>
    <col min="2" max="3" width="13.375" style="12" customWidth="1" outlineLevel="1"/>
    <col min="4" max="5" width="2.875" style="12" customWidth="1"/>
    <col min="6" max="6" width="32" style="12" customWidth="1"/>
    <col min="7" max="7" width="39.375" style="12" customWidth="1"/>
    <col min="8" max="23" width="16.875" style="12" customWidth="1"/>
    <col min="24" max="44" width="14.875" style="12" customWidth="1"/>
    <col min="45" max="16384" width="9.375" style="12"/>
  </cols>
  <sheetData>
    <row r="1" spans="1:25" customFormat="1" ht="15.5" x14ac:dyDescent="0.25">
      <c r="A1" s="5" t="str">
        <f ca="1">MID(CELL("filename",A1),FIND("]",CELL("filename",A1))+1,255)</f>
        <v>CAPEX_In</v>
      </c>
    </row>
    <row r="2" spans="1:25" customFormat="1" ht="12" x14ac:dyDescent="0.3">
      <c r="B2" s="7" t="s">
        <v>1</v>
      </c>
      <c r="C2" s="7" t="s">
        <v>2</v>
      </c>
      <c r="D2" s="7"/>
      <c r="E2" s="7"/>
      <c r="G2" s="8"/>
      <c r="H2" s="8"/>
      <c r="I2" s="8"/>
    </row>
    <row r="3" spans="1:25" s="13" customFormat="1" x14ac:dyDescent="0.25">
      <c r="A3" s="12"/>
      <c r="B3" s="12"/>
      <c r="C3" s="12"/>
    </row>
    <row r="5" spans="1:25" ht="11" thickBot="1" x14ac:dyDescent="0.3">
      <c r="D5" s="12" t="str">
        <f>""</f>
        <v/>
      </c>
      <c r="E5" s="1" t="s">
        <v>436</v>
      </c>
      <c r="F5" s="1"/>
    </row>
    <row r="6" spans="1:25" x14ac:dyDescent="0.25">
      <c r="D6" s="12" t="str">
        <f>""</f>
        <v/>
      </c>
    </row>
    <row r="7" spans="1:25" x14ac:dyDescent="0.25">
      <c r="F7" s="12" t="s">
        <v>429</v>
      </c>
      <c r="G7" s="11" t="s">
        <v>85</v>
      </c>
      <c r="H7" s="25">
        <v>0</v>
      </c>
    </row>
    <row r="8" spans="1:25" x14ac:dyDescent="0.25">
      <c r="F8" s="12" t="s">
        <v>437</v>
      </c>
      <c r="G8" s="11" t="s">
        <v>85</v>
      </c>
      <c r="H8" s="22">
        <f>SUM(P20:P211)</f>
        <v>189795000</v>
      </c>
    </row>
    <row r="9" spans="1:25" x14ac:dyDescent="0.25">
      <c r="G9" s="11"/>
    </row>
    <row r="10" spans="1:25" x14ac:dyDescent="0.25">
      <c r="F10" s="45" t="s">
        <v>438</v>
      </c>
      <c r="G10" s="11"/>
    </row>
    <row r="11" spans="1:25" x14ac:dyDescent="0.25">
      <c r="F11" s="12" t="str">
        <f>General!F11</f>
        <v>Construction period</v>
      </c>
      <c r="G11" s="11" t="str">
        <f>General!H11</f>
        <v>years</v>
      </c>
      <c r="H11" s="22">
        <f>General!N11</f>
        <v>10</v>
      </c>
      <c r="I11" s="17" t="s">
        <v>440</v>
      </c>
    </row>
    <row r="14" spans="1:25" ht="11" thickBot="1" x14ac:dyDescent="0.3">
      <c r="E14" s="1" t="s">
        <v>431</v>
      </c>
      <c r="F14" s="1"/>
    </row>
    <row r="16" spans="1:25" ht="11.5" x14ac:dyDescent="0.25">
      <c r="F16" s="95" t="s">
        <v>907</v>
      </c>
      <c r="G16" s="96"/>
      <c r="H16" s="96"/>
      <c r="I16" s="96"/>
      <c r="J16" s="96"/>
      <c r="K16" s="96"/>
      <c r="L16" s="96"/>
      <c r="M16" s="96"/>
      <c r="N16" s="96"/>
      <c r="O16" s="96"/>
      <c r="P16" s="96"/>
      <c r="Q16" s="96"/>
      <c r="R16" s="96"/>
      <c r="S16" s="96"/>
      <c r="T16" s="96"/>
      <c r="U16" s="96"/>
      <c r="V16" s="96"/>
      <c r="W16" s="96"/>
      <c r="X16" s="96"/>
      <c r="Y16" s="97"/>
    </row>
    <row r="17" spans="6:25" ht="11.5" x14ac:dyDescent="0.25">
      <c r="F17" s="98" t="s">
        <v>908</v>
      </c>
      <c r="G17" s="99"/>
      <c r="H17" s="100"/>
      <c r="I17" s="100"/>
      <c r="J17" s="101"/>
      <c r="K17" s="102" t="s">
        <v>909</v>
      </c>
      <c r="L17" s="103"/>
      <c r="M17" s="103"/>
      <c r="N17" s="103"/>
      <c r="O17" s="103"/>
      <c r="P17" s="103"/>
      <c r="Q17" s="103"/>
      <c r="R17" s="103"/>
      <c r="S17" s="103"/>
      <c r="T17" s="103"/>
      <c r="U17" s="103"/>
      <c r="V17" s="103"/>
      <c r="W17" s="103"/>
      <c r="X17" s="103"/>
      <c r="Y17" s="104"/>
    </row>
    <row r="18" spans="6:25" ht="95" x14ac:dyDescent="0.25">
      <c r="F18" s="85" t="s">
        <v>97</v>
      </c>
      <c r="G18" s="41" t="s">
        <v>98</v>
      </c>
      <c r="H18" s="42" t="s">
        <v>99</v>
      </c>
      <c r="I18" s="42" t="s">
        <v>100</v>
      </c>
      <c r="J18" s="42" t="s">
        <v>101</v>
      </c>
      <c r="K18" s="43" t="s">
        <v>102</v>
      </c>
      <c r="L18" s="41" t="s">
        <v>910</v>
      </c>
      <c r="M18" s="41" t="s">
        <v>103</v>
      </c>
      <c r="N18" s="42" t="s">
        <v>911</v>
      </c>
      <c r="O18" s="42" t="s">
        <v>912</v>
      </c>
      <c r="P18" s="86" t="s">
        <v>913</v>
      </c>
      <c r="Q18" s="42" t="s">
        <v>104</v>
      </c>
      <c r="R18" s="44" t="s">
        <v>105</v>
      </c>
      <c r="S18" s="44" t="s">
        <v>106</v>
      </c>
      <c r="T18" s="44" t="s">
        <v>107</v>
      </c>
      <c r="U18" s="44" t="s">
        <v>108</v>
      </c>
      <c r="V18" s="44" t="s">
        <v>109</v>
      </c>
      <c r="W18" s="44" t="s">
        <v>110</v>
      </c>
      <c r="X18" s="44" t="s">
        <v>111</v>
      </c>
      <c r="Y18" s="44" t="s">
        <v>112</v>
      </c>
    </row>
    <row r="19" spans="6:25" ht="11.5" x14ac:dyDescent="0.25">
      <c r="F19" s="105"/>
      <c r="G19" s="105"/>
      <c r="H19" s="105"/>
      <c r="I19" s="105"/>
      <c r="J19" s="105"/>
      <c r="K19" s="105"/>
      <c r="L19" s="105"/>
      <c r="M19" s="105"/>
      <c r="N19" s="105"/>
      <c r="O19" s="105"/>
      <c r="P19" s="105"/>
      <c r="Q19" s="105"/>
      <c r="R19" s="105"/>
      <c r="S19" s="105"/>
      <c r="T19" s="105"/>
      <c r="U19" s="105"/>
      <c r="V19" s="105"/>
      <c r="W19" s="105"/>
      <c r="X19" s="105"/>
      <c r="Y19" s="105"/>
    </row>
    <row r="20" spans="6:25" ht="34.5" x14ac:dyDescent="0.25">
      <c r="F20" s="65" t="s">
        <v>113</v>
      </c>
      <c r="G20" s="65" t="s">
        <v>114</v>
      </c>
      <c r="H20" s="65"/>
      <c r="I20" s="65" t="s">
        <v>115</v>
      </c>
      <c r="J20" s="69"/>
      <c r="K20" s="65" t="s">
        <v>116</v>
      </c>
      <c r="L20" s="65" t="s">
        <v>117</v>
      </c>
      <c r="M20" s="65"/>
      <c r="N20" s="65" t="s">
        <v>117</v>
      </c>
      <c r="O20" s="65" t="s">
        <v>914</v>
      </c>
      <c r="P20" s="75">
        <v>50000</v>
      </c>
      <c r="Q20" s="76" t="s">
        <v>118</v>
      </c>
      <c r="R20" s="76"/>
      <c r="S20" s="76"/>
      <c r="T20" s="76"/>
      <c r="U20" s="76"/>
      <c r="V20" s="76" t="s">
        <v>119</v>
      </c>
      <c r="W20" s="77"/>
      <c r="X20" s="65"/>
      <c r="Y20" s="76"/>
    </row>
    <row r="21" spans="6:25" ht="34.5" x14ac:dyDescent="0.25">
      <c r="F21" s="65" t="s">
        <v>120</v>
      </c>
      <c r="G21" s="66" t="s">
        <v>632</v>
      </c>
      <c r="H21" s="66"/>
      <c r="I21" s="66" t="s">
        <v>117</v>
      </c>
      <c r="J21" s="66"/>
      <c r="K21" s="66" t="s">
        <v>116</v>
      </c>
      <c r="L21" s="65" t="s">
        <v>117</v>
      </c>
      <c r="M21" s="66"/>
      <c r="N21" s="66"/>
      <c r="O21" s="66"/>
      <c r="P21" s="78">
        <v>215000</v>
      </c>
      <c r="Q21" s="79" t="s">
        <v>121</v>
      </c>
      <c r="R21" s="79"/>
      <c r="S21" s="79" t="s">
        <v>119</v>
      </c>
      <c r="T21" s="79"/>
      <c r="U21" s="79"/>
      <c r="V21" s="79"/>
      <c r="W21" s="79"/>
      <c r="X21" s="66"/>
      <c r="Y21" s="79"/>
    </row>
    <row r="22" spans="6:25" ht="34.5" x14ac:dyDescent="0.25">
      <c r="F22" s="65" t="s">
        <v>122</v>
      </c>
      <c r="G22" s="66" t="s">
        <v>123</v>
      </c>
      <c r="H22" s="66" t="s">
        <v>745</v>
      </c>
      <c r="I22" s="66" t="s">
        <v>115</v>
      </c>
      <c r="J22" s="66" t="s">
        <v>746</v>
      </c>
      <c r="K22" s="66" t="s">
        <v>116</v>
      </c>
      <c r="L22" s="65" t="s">
        <v>117</v>
      </c>
      <c r="M22" s="66"/>
      <c r="N22" s="66" t="s">
        <v>915</v>
      </c>
      <c r="O22" s="66" t="s">
        <v>916</v>
      </c>
      <c r="P22" s="78">
        <v>315000</v>
      </c>
      <c r="Q22" s="79" t="s">
        <v>124</v>
      </c>
      <c r="R22" s="79"/>
      <c r="S22" s="79" t="s">
        <v>119</v>
      </c>
      <c r="T22" s="79"/>
      <c r="U22" s="79"/>
      <c r="V22" s="79"/>
      <c r="W22" s="79"/>
      <c r="X22" s="66"/>
      <c r="Y22" s="79"/>
    </row>
    <row r="23" spans="6:25" ht="57.5" x14ac:dyDescent="0.25">
      <c r="F23" s="65" t="s">
        <v>594</v>
      </c>
      <c r="G23" s="66" t="s">
        <v>633</v>
      </c>
      <c r="H23" s="66"/>
      <c r="I23" s="66" t="s">
        <v>115</v>
      </c>
      <c r="J23" s="66"/>
      <c r="K23" s="66" t="s">
        <v>116</v>
      </c>
      <c r="L23" s="65" t="s">
        <v>117</v>
      </c>
      <c r="M23" s="66"/>
      <c r="N23" s="66" t="s">
        <v>915</v>
      </c>
      <c r="O23" s="66" t="s">
        <v>916</v>
      </c>
      <c r="P23" s="78">
        <v>430000</v>
      </c>
      <c r="Q23" s="79" t="s">
        <v>124</v>
      </c>
      <c r="R23" s="79"/>
      <c r="S23" s="79" t="s">
        <v>119</v>
      </c>
      <c r="T23" s="79"/>
      <c r="U23" s="79"/>
      <c r="V23" s="79"/>
      <c r="W23" s="79"/>
      <c r="X23" s="66"/>
      <c r="Y23" s="79"/>
    </row>
    <row r="24" spans="6:25" ht="218.5" x14ac:dyDescent="0.25">
      <c r="F24" s="66" t="s">
        <v>125</v>
      </c>
      <c r="G24" s="66" t="s">
        <v>126</v>
      </c>
      <c r="H24" s="66" t="s">
        <v>747</v>
      </c>
      <c r="I24" s="66" t="s">
        <v>748</v>
      </c>
      <c r="J24" s="66" t="s">
        <v>749</v>
      </c>
      <c r="K24" s="66" t="s">
        <v>130</v>
      </c>
      <c r="L24" s="66" t="s">
        <v>131</v>
      </c>
      <c r="M24" s="66"/>
      <c r="N24" s="66"/>
      <c r="O24" s="66"/>
      <c r="P24" s="78">
        <v>250000</v>
      </c>
      <c r="Q24" s="79" t="s">
        <v>124</v>
      </c>
      <c r="R24" s="79"/>
      <c r="S24" s="79" t="s">
        <v>119</v>
      </c>
      <c r="T24" s="79"/>
      <c r="U24" s="79"/>
      <c r="V24" s="79"/>
      <c r="W24" s="79"/>
      <c r="X24" s="66"/>
      <c r="Y24" s="79"/>
    </row>
    <row r="25" spans="6:25" ht="172.5" x14ac:dyDescent="0.25">
      <c r="F25" s="66" t="s">
        <v>132</v>
      </c>
      <c r="G25" s="66" t="s">
        <v>133</v>
      </c>
      <c r="H25" s="66" t="s">
        <v>747</v>
      </c>
      <c r="I25" s="66" t="s">
        <v>128</v>
      </c>
      <c r="J25" s="66" t="s">
        <v>750</v>
      </c>
      <c r="K25" s="66" t="s">
        <v>130</v>
      </c>
      <c r="L25" s="66" t="s">
        <v>131</v>
      </c>
      <c r="M25" s="66"/>
      <c r="N25" s="66"/>
      <c r="O25" s="66"/>
      <c r="P25" s="78">
        <v>335000</v>
      </c>
      <c r="Q25" s="79" t="s">
        <v>124</v>
      </c>
      <c r="R25" s="79"/>
      <c r="S25" s="79" t="s">
        <v>119</v>
      </c>
      <c r="T25" s="79"/>
      <c r="U25" s="79"/>
      <c r="V25" s="79"/>
      <c r="W25" s="79"/>
      <c r="X25" s="66"/>
      <c r="Y25" s="79"/>
    </row>
    <row r="26" spans="6:25" ht="379.5" x14ac:dyDescent="0.25">
      <c r="F26" s="66" t="s">
        <v>134</v>
      </c>
      <c r="G26" s="66" t="s">
        <v>634</v>
      </c>
      <c r="H26" s="66" t="s">
        <v>135</v>
      </c>
      <c r="I26" s="66" t="s">
        <v>136</v>
      </c>
      <c r="J26" s="66" t="s">
        <v>751</v>
      </c>
      <c r="K26" s="66" t="s">
        <v>130</v>
      </c>
      <c r="L26" s="66" t="s">
        <v>131</v>
      </c>
      <c r="M26" s="66" t="s">
        <v>846</v>
      </c>
      <c r="N26" s="66"/>
      <c r="O26" s="66"/>
      <c r="P26" s="78">
        <v>660000</v>
      </c>
      <c r="Q26" s="79" t="s">
        <v>124</v>
      </c>
      <c r="R26" s="79"/>
      <c r="S26" s="80" t="s">
        <v>119</v>
      </c>
      <c r="T26" s="79"/>
      <c r="U26" s="79"/>
      <c r="V26" s="79"/>
      <c r="W26" s="79"/>
      <c r="X26" s="66"/>
      <c r="Y26" s="79"/>
    </row>
    <row r="27" spans="6:25" ht="92" x14ac:dyDescent="0.25">
      <c r="F27" s="66" t="s">
        <v>138</v>
      </c>
      <c r="G27" s="66" t="s">
        <v>635</v>
      </c>
      <c r="H27" s="66"/>
      <c r="I27" s="66" t="s">
        <v>115</v>
      </c>
      <c r="J27" s="66" t="s">
        <v>752</v>
      </c>
      <c r="K27" s="66" t="s">
        <v>130</v>
      </c>
      <c r="L27" s="66" t="s">
        <v>131</v>
      </c>
      <c r="M27" s="66"/>
      <c r="N27" s="66"/>
      <c r="O27" s="66"/>
      <c r="P27" s="78">
        <v>75000</v>
      </c>
      <c r="Q27" s="79" t="s">
        <v>121</v>
      </c>
      <c r="R27" s="79"/>
      <c r="S27" s="79"/>
      <c r="T27" s="79" t="s">
        <v>119</v>
      </c>
      <c r="U27" s="79"/>
      <c r="V27" s="79"/>
      <c r="W27" s="79"/>
      <c r="X27" s="66"/>
      <c r="Y27" s="79"/>
    </row>
    <row r="28" spans="6:25" ht="46" x14ac:dyDescent="0.25">
      <c r="F28" s="66" t="s">
        <v>139</v>
      </c>
      <c r="G28" s="66" t="s">
        <v>114</v>
      </c>
      <c r="H28" s="66"/>
      <c r="I28" s="66" t="s">
        <v>115</v>
      </c>
      <c r="J28" s="66" t="s">
        <v>129</v>
      </c>
      <c r="K28" s="66" t="s">
        <v>130</v>
      </c>
      <c r="L28" s="66" t="s">
        <v>131</v>
      </c>
      <c r="M28" s="66" t="s">
        <v>140</v>
      </c>
      <c r="N28" s="66"/>
      <c r="O28" s="66"/>
      <c r="P28" s="78">
        <v>50000</v>
      </c>
      <c r="Q28" s="79" t="s">
        <v>118</v>
      </c>
      <c r="R28" s="79"/>
      <c r="S28" s="79"/>
      <c r="T28" s="79"/>
      <c r="U28" s="79"/>
      <c r="V28" s="79" t="s">
        <v>119</v>
      </c>
      <c r="W28" s="79"/>
      <c r="X28" s="66"/>
      <c r="Y28" s="79"/>
    </row>
    <row r="29" spans="6:25" ht="57.5" x14ac:dyDescent="0.25">
      <c r="F29" s="66" t="s">
        <v>141</v>
      </c>
      <c r="G29" s="66" t="s">
        <v>636</v>
      </c>
      <c r="H29" s="66" t="s">
        <v>747</v>
      </c>
      <c r="I29" s="66" t="s">
        <v>115</v>
      </c>
      <c r="J29" s="66" t="s">
        <v>129</v>
      </c>
      <c r="K29" s="66" t="s">
        <v>130</v>
      </c>
      <c r="L29" s="66" t="s">
        <v>131</v>
      </c>
      <c r="M29" s="66" t="s">
        <v>142</v>
      </c>
      <c r="N29" s="66"/>
      <c r="O29" s="66"/>
      <c r="P29" s="78">
        <v>1700000</v>
      </c>
      <c r="Q29" s="79" t="s">
        <v>143</v>
      </c>
      <c r="R29" s="79"/>
      <c r="S29" s="79"/>
      <c r="T29" s="79"/>
      <c r="U29" s="79" t="s">
        <v>119</v>
      </c>
      <c r="V29" s="79"/>
      <c r="W29" s="79"/>
      <c r="X29" s="66"/>
      <c r="Y29" s="79"/>
    </row>
    <row r="30" spans="6:25" ht="103.5" x14ac:dyDescent="0.25">
      <c r="F30" s="66" t="s">
        <v>144</v>
      </c>
      <c r="G30" s="66" t="s">
        <v>637</v>
      </c>
      <c r="H30" s="66" t="s">
        <v>145</v>
      </c>
      <c r="I30" s="66" t="s">
        <v>146</v>
      </c>
      <c r="J30" s="66" t="s">
        <v>753</v>
      </c>
      <c r="K30" s="66" t="s">
        <v>147</v>
      </c>
      <c r="L30" s="66" t="s">
        <v>117</v>
      </c>
      <c r="M30" s="66" t="s">
        <v>847</v>
      </c>
      <c r="N30" s="66" t="s">
        <v>117</v>
      </c>
      <c r="O30" s="66" t="s">
        <v>917</v>
      </c>
      <c r="P30" s="78">
        <v>310000</v>
      </c>
      <c r="Q30" s="79" t="s">
        <v>124</v>
      </c>
      <c r="R30" s="79"/>
      <c r="S30" s="80" t="s">
        <v>119</v>
      </c>
      <c r="T30" s="79"/>
      <c r="U30" s="79"/>
      <c r="V30" s="79"/>
      <c r="W30" s="79"/>
      <c r="X30" s="66"/>
      <c r="Y30" s="79"/>
    </row>
    <row r="31" spans="6:25" ht="23" x14ac:dyDescent="0.25">
      <c r="F31" s="66" t="s">
        <v>149</v>
      </c>
      <c r="G31" s="66" t="s">
        <v>150</v>
      </c>
      <c r="H31" s="66" t="s">
        <v>754</v>
      </c>
      <c r="I31" s="66" t="s">
        <v>115</v>
      </c>
      <c r="J31" s="66"/>
      <c r="K31" s="66" t="s">
        <v>147</v>
      </c>
      <c r="L31" s="66" t="s">
        <v>117</v>
      </c>
      <c r="M31" s="66" t="s">
        <v>148</v>
      </c>
      <c r="N31" s="66" t="s">
        <v>117</v>
      </c>
      <c r="O31" s="66" t="s">
        <v>914</v>
      </c>
      <c r="P31" s="78">
        <v>50000</v>
      </c>
      <c r="Q31" s="79" t="s">
        <v>118</v>
      </c>
      <c r="R31" s="79"/>
      <c r="S31" s="79"/>
      <c r="T31" s="79"/>
      <c r="U31" s="79"/>
      <c r="V31" s="79" t="s">
        <v>119</v>
      </c>
      <c r="W31" s="79"/>
      <c r="X31" s="66"/>
      <c r="Y31" s="79"/>
    </row>
    <row r="32" spans="6:25" ht="57.5" x14ac:dyDescent="0.25">
      <c r="F32" s="66" t="s">
        <v>151</v>
      </c>
      <c r="G32" s="66" t="s">
        <v>638</v>
      </c>
      <c r="H32" s="66"/>
      <c r="I32" s="66" t="s">
        <v>115</v>
      </c>
      <c r="J32" s="66"/>
      <c r="K32" s="66" t="s">
        <v>147</v>
      </c>
      <c r="L32" s="66" t="s">
        <v>117</v>
      </c>
      <c r="M32" s="66" t="s">
        <v>848</v>
      </c>
      <c r="N32" s="66" t="s">
        <v>918</v>
      </c>
      <c r="O32" s="66" t="s">
        <v>916</v>
      </c>
      <c r="P32" s="78">
        <v>1700000</v>
      </c>
      <c r="Q32" s="79" t="s">
        <v>143</v>
      </c>
      <c r="R32" s="79"/>
      <c r="S32" s="79"/>
      <c r="T32" s="79" t="s">
        <v>119</v>
      </c>
      <c r="U32" s="79" t="s">
        <v>119</v>
      </c>
      <c r="V32" s="79"/>
      <c r="W32" s="79"/>
      <c r="X32" s="66"/>
      <c r="Y32" s="79"/>
    </row>
    <row r="33" spans="6:25" ht="34.5" x14ac:dyDescent="0.25">
      <c r="F33" s="66" t="s">
        <v>152</v>
      </c>
      <c r="G33" s="66" t="s">
        <v>639</v>
      </c>
      <c r="H33" s="66"/>
      <c r="I33" s="66" t="s">
        <v>115</v>
      </c>
      <c r="J33" s="66"/>
      <c r="K33" s="66" t="s">
        <v>147</v>
      </c>
      <c r="L33" s="66" t="s">
        <v>117</v>
      </c>
      <c r="M33" s="66" t="s">
        <v>167</v>
      </c>
      <c r="N33" s="66"/>
      <c r="O33" s="66"/>
      <c r="P33" s="78">
        <v>450000</v>
      </c>
      <c r="Q33" s="79" t="s">
        <v>124</v>
      </c>
      <c r="R33" s="79"/>
      <c r="S33" s="79"/>
      <c r="T33" s="79"/>
      <c r="U33" s="79" t="s">
        <v>119</v>
      </c>
      <c r="V33" s="79"/>
      <c r="W33" s="79"/>
      <c r="X33" s="66"/>
      <c r="Y33" s="79"/>
    </row>
    <row r="34" spans="6:25" ht="23" x14ac:dyDescent="0.25">
      <c r="F34" s="66" t="s">
        <v>153</v>
      </c>
      <c r="G34" s="66" t="s">
        <v>640</v>
      </c>
      <c r="H34" s="66"/>
      <c r="I34" s="66" t="s">
        <v>115</v>
      </c>
      <c r="J34" s="66"/>
      <c r="K34" s="66" t="s">
        <v>147</v>
      </c>
      <c r="L34" s="66" t="s">
        <v>117</v>
      </c>
      <c r="M34" s="66" t="s">
        <v>142</v>
      </c>
      <c r="N34" s="66"/>
      <c r="O34" s="66"/>
      <c r="P34" s="78">
        <v>450000</v>
      </c>
      <c r="Q34" s="79" t="s">
        <v>124</v>
      </c>
      <c r="R34" s="79"/>
      <c r="S34" s="79"/>
      <c r="T34" s="79"/>
      <c r="U34" s="79" t="s">
        <v>119</v>
      </c>
      <c r="V34" s="79"/>
      <c r="W34" s="79"/>
      <c r="X34" s="66"/>
      <c r="Y34" s="79"/>
    </row>
    <row r="35" spans="6:25" ht="34.5" x14ac:dyDescent="0.25">
      <c r="F35" s="66" t="s">
        <v>154</v>
      </c>
      <c r="G35" s="66" t="s">
        <v>641</v>
      </c>
      <c r="H35" s="66"/>
      <c r="I35" s="66" t="s">
        <v>115</v>
      </c>
      <c r="J35" s="66"/>
      <c r="K35" s="66" t="s">
        <v>147</v>
      </c>
      <c r="L35" s="66" t="s">
        <v>117</v>
      </c>
      <c r="M35" s="66" t="s">
        <v>142</v>
      </c>
      <c r="N35" s="66"/>
      <c r="O35" s="66"/>
      <c r="P35" s="78">
        <v>450000</v>
      </c>
      <c r="Q35" s="79" t="s">
        <v>124</v>
      </c>
      <c r="R35" s="79"/>
      <c r="S35" s="79"/>
      <c r="T35" s="79"/>
      <c r="U35" s="79" t="s">
        <v>119</v>
      </c>
      <c r="V35" s="79"/>
      <c r="W35" s="79"/>
      <c r="X35" s="66"/>
      <c r="Y35" s="79"/>
    </row>
    <row r="36" spans="6:25" ht="80.5" x14ac:dyDescent="0.25">
      <c r="F36" s="66" t="s">
        <v>155</v>
      </c>
      <c r="G36" s="66" t="s">
        <v>642</v>
      </c>
      <c r="H36" s="66"/>
      <c r="I36" s="66" t="s">
        <v>156</v>
      </c>
      <c r="J36" s="66" t="s">
        <v>755</v>
      </c>
      <c r="K36" s="66" t="s">
        <v>147</v>
      </c>
      <c r="L36" s="66" t="s">
        <v>117</v>
      </c>
      <c r="M36" s="66" t="s">
        <v>849</v>
      </c>
      <c r="N36" s="69"/>
      <c r="O36" s="69"/>
      <c r="P36" s="81">
        <v>110000</v>
      </c>
      <c r="Q36" s="82" t="s">
        <v>121</v>
      </c>
      <c r="R36" s="79"/>
      <c r="S36" s="79"/>
      <c r="T36" s="79" t="s">
        <v>119</v>
      </c>
      <c r="U36" s="79"/>
      <c r="V36" s="79"/>
      <c r="W36" s="79"/>
      <c r="X36" s="66"/>
      <c r="Y36" s="79"/>
    </row>
    <row r="37" spans="6:25" ht="57.5" x14ac:dyDescent="0.25">
      <c r="F37" s="66" t="s">
        <v>158</v>
      </c>
      <c r="G37" s="66" t="s">
        <v>643</v>
      </c>
      <c r="H37" s="66"/>
      <c r="I37" s="66" t="s">
        <v>159</v>
      </c>
      <c r="J37" s="66"/>
      <c r="K37" s="66" t="s">
        <v>160</v>
      </c>
      <c r="L37" s="71" t="s">
        <v>161</v>
      </c>
      <c r="M37" s="66" t="s">
        <v>148</v>
      </c>
      <c r="N37" s="66"/>
      <c r="O37" s="66"/>
      <c r="P37" s="78">
        <v>150000</v>
      </c>
      <c r="Q37" s="79" t="s">
        <v>121</v>
      </c>
      <c r="R37" s="79"/>
      <c r="S37" s="80" t="s">
        <v>119</v>
      </c>
      <c r="T37" s="79"/>
      <c r="U37" s="79"/>
      <c r="V37" s="79"/>
      <c r="W37" s="79"/>
      <c r="X37" s="66"/>
      <c r="Y37" s="79"/>
    </row>
    <row r="38" spans="6:25" ht="80.5" x14ac:dyDescent="0.25">
      <c r="F38" s="66" t="s">
        <v>162</v>
      </c>
      <c r="G38" s="66" t="s">
        <v>163</v>
      </c>
      <c r="H38" s="66" t="s">
        <v>756</v>
      </c>
      <c r="I38" s="66" t="s">
        <v>164</v>
      </c>
      <c r="J38" s="66" t="s">
        <v>755</v>
      </c>
      <c r="K38" s="66" t="s">
        <v>160</v>
      </c>
      <c r="L38" s="71" t="s">
        <v>131</v>
      </c>
      <c r="M38" s="66" t="s">
        <v>148</v>
      </c>
      <c r="N38" s="66"/>
      <c r="O38" s="66"/>
      <c r="P38" s="78">
        <v>200000</v>
      </c>
      <c r="Q38" s="79" t="s">
        <v>121</v>
      </c>
      <c r="R38" s="79"/>
      <c r="S38" s="79"/>
      <c r="T38" s="79" t="s">
        <v>119</v>
      </c>
      <c r="U38" s="79"/>
      <c r="V38" s="79"/>
      <c r="W38" s="79"/>
      <c r="X38" s="66"/>
      <c r="Y38" s="79" t="s">
        <v>119</v>
      </c>
    </row>
    <row r="39" spans="6:25" ht="184" x14ac:dyDescent="0.25">
      <c r="F39" s="66" t="s">
        <v>165</v>
      </c>
      <c r="G39" s="66" t="s">
        <v>644</v>
      </c>
      <c r="H39" s="66"/>
      <c r="I39" s="66" t="s">
        <v>115</v>
      </c>
      <c r="J39" s="66" t="s">
        <v>757</v>
      </c>
      <c r="K39" s="66" t="s">
        <v>160</v>
      </c>
      <c r="L39" s="71" t="s">
        <v>166</v>
      </c>
      <c r="M39" s="66" t="s">
        <v>850</v>
      </c>
      <c r="N39" s="66"/>
      <c r="O39" s="66"/>
      <c r="P39" s="78">
        <v>1700000</v>
      </c>
      <c r="Q39" s="79" t="s">
        <v>143</v>
      </c>
      <c r="R39" s="79"/>
      <c r="S39" s="79"/>
      <c r="T39" s="79"/>
      <c r="U39" s="79" t="s">
        <v>119</v>
      </c>
      <c r="V39" s="79"/>
      <c r="W39" s="79"/>
      <c r="X39" s="66"/>
      <c r="Y39" s="79"/>
    </row>
    <row r="40" spans="6:25" ht="57.5" x14ac:dyDescent="0.25">
      <c r="F40" s="66" t="s">
        <v>168</v>
      </c>
      <c r="G40" s="68" t="s">
        <v>645</v>
      </c>
      <c r="H40" s="68"/>
      <c r="I40" s="66" t="s">
        <v>115</v>
      </c>
      <c r="J40" s="66"/>
      <c r="K40" s="66" t="s">
        <v>160</v>
      </c>
      <c r="L40" s="71" t="s">
        <v>166</v>
      </c>
      <c r="M40" s="66" t="s">
        <v>167</v>
      </c>
      <c r="N40" s="66"/>
      <c r="O40" s="66"/>
      <c r="P40" s="78">
        <v>1900000</v>
      </c>
      <c r="Q40" s="79" t="s">
        <v>143</v>
      </c>
      <c r="R40" s="79"/>
      <c r="S40" s="79" t="s">
        <v>119</v>
      </c>
      <c r="T40" s="79"/>
      <c r="U40" s="79" t="s">
        <v>119</v>
      </c>
      <c r="V40" s="79"/>
      <c r="W40" s="79"/>
      <c r="X40" s="66"/>
      <c r="Y40" s="79"/>
    </row>
    <row r="41" spans="6:25" ht="46" x14ac:dyDescent="0.25">
      <c r="F41" s="66" t="s">
        <v>169</v>
      </c>
      <c r="G41" s="66" t="s">
        <v>646</v>
      </c>
      <c r="H41" s="66"/>
      <c r="I41" s="66" t="s">
        <v>115</v>
      </c>
      <c r="J41" s="66"/>
      <c r="K41" s="66" t="s">
        <v>160</v>
      </c>
      <c r="L41" s="71" t="s">
        <v>161</v>
      </c>
      <c r="M41" s="66" t="s">
        <v>167</v>
      </c>
      <c r="N41" s="66"/>
      <c r="O41" s="66"/>
      <c r="P41" s="78">
        <v>1700000</v>
      </c>
      <c r="Q41" s="79" t="s">
        <v>143</v>
      </c>
      <c r="R41" s="79"/>
      <c r="S41" s="79"/>
      <c r="T41" s="79"/>
      <c r="U41" s="79" t="s">
        <v>119</v>
      </c>
      <c r="V41" s="79"/>
      <c r="W41" s="79"/>
      <c r="X41" s="66"/>
      <c r="Y41" s="79"/>
    </row>
    <row r="42" spans="6:25" ht="161" x14ac:dyDescent="0.25">
      <c r="F42" s="66" t="s">
        <v>170</v>
      </c>
      <c r="G42" s="66" t="s">
        <v>647</v>
      </c>
      <c r="H42" s="66"/>
      <c r="I42" s="66" t="s">
        <v>172</v>
      </c>
      <c r="J42" s="66" t="s">
        <v>758</v>
      </c>
      <c r="K42" s="66" t="s">
        <v>160</v>
      </c>
      <c r="L42" s="71" t="s">
        <v>161</v>
      </c>
      <c r="M42" s="66" t="s">
        <v>167</v>
      </c>
      <c r="N42" s="66"/>
      <c r="O42" s="66"/>
      <c r="P42" s="78">
        <v>510000</v>
      </c>
      <c r="Q42" s="79" t="s">
        <v>124</v>
      </c>
      <c r="R42" s="79"/>
      <c r="S42" s="79" t="s">
        <v>119</v>
      </c>
      <c r="T42" s="79"/>
      <c r="U42" s="79"/>
      <c r="V42" s="79"/>
      <c r="W42" s="79"/>
      <c r="X42" s="66"/>
      <c r="Y42" s="79"/>
    </row>
    <row r="43" spans="6:25" ht="46" x14ac:dyDescent="0.25">
      <c r="F43" s="66" t="s">
        <v>171</v>
      </c>
      <c r="G43" s="66" t="s">
        <v>648</v>
      </c>
      <c r="H43" s="66"/>
      <c r="I43" s="66" t="s">
        <v>161</v>
      </c>
      <c r="J43" s="66"/>
      <c r="K43" s="66" t="s">
        <v>160</v>
      </c>
      <c r="L43" s="71" t="s">
        <v>161</v>
      </c>
      <c r="M43" s="66" t="s">
        <v>167</v>
      </c>
      <c r="N43" s="66"/>
      <c r="O43" s="66"/>
      <c r="P43" s="78">
        <v>250000</v>
      </c>
      <c r="Q43" s="79" t="s">
        <v>124</v>
      </c>
      <c r="R43" s="79"/>
      <c r="S43" s="79"/>
      <c r="T43" s="79" t="s">
        <v>119</v>
      </c>
      <c r="U43" s="79"/>
      <c r="V43" s="79"/>
      <c r="W43" s="79"/>
      <c r="X43" s="66"/>
      <c r="Y43" s="79"/>
    </row>
    <row r="44" spans="6:25" ht="46" x14ac:dyDescent="0.25">
      <c r="F44" s="66" t="s">
        <v>173</v>
      </c>
      <c r="G44" s="66" t="s">
        <v>649</v>
      </c>
      <c r="H44" s="66" t="s">
        <v>127</v>
      </c>
      <c r="I44" s="66" t="s">
        <v>174</v>
      </c>
      <c r="J44" s="66"/>
      <c r="K44" s="66" t="s">
        <v>160</v>
      </c>
      <c r="L44" s="71" t="s">
        <v>161</v>
      </c>
      <c r="M44" s="66" t="s">
        <v>167</v>
      </c>
      <c r="N44" s="66"/>
      <c r="O44" s="66"/>
      <c r="P44" s="78">
        <v>1700000</v>
      </c>
      <c r="Q44" s="79" t="s">
        <v>143</v>
      </c>
      <c r="R44" s="79"/>
      <c r="S44" s="79"/>
      <c r="T44" s="79"/>
      <c r="U44" s="79" t="s">
        <v>119</v>
      </c>
      <c r="V44" s="79"/>
      <c r="W44" s="79"/>
      <c r="X44" s="66"/>
      <c r="Y44" s="79"/>
    </row>
    <row r="45" spans="6:25" ht="57.5" x14ac:dyDescent="0.25">
      <c r="F45" s="66" t="s">
        <v>175</v>
      </c>
      <c r="G45" s="66" t="s">
        <v>650</v>
      </c>
      <c r="H45" s="66" t="s">
        <v>756</v>
      </c>
      <c r="I45" s="66" t="s">
        <v>115</v>
      </c>
      <c r="J45" s="66"/>
      <c r="K45" s="66" t="s">
        <v>160</v>
      </c>
      <c r="L45" s="71" t="s">
        <v>161</v>
      </c>
      <c r="M45" s="66" t="s">
        <v>848</v>
      </c>
      <c r="N45" s="66"/>
      <c r="O45" s="66"/>
      <c r="P45" s="78">
        <v>1700000</v>
      </c>
      <c r="Q45" s="79" t="s">
        <v>143</v>
      </c>
      <c r="R45" s="79"/>
      <c r="S45" s="79"/>
      <c r="T45" s="79"/>
      <c r="U45" s="79" t="s">
        <v>119</v>
      </c>
      <c r="V45" s="79"/>
      <c r="W45" s="79"/>
      <c r="X45" s="66"/>
      <c r="Y45" s="79" t="s">
        <v>119</v>
      </c>
    </row>
    <row r="46" spans="6:25" ht="46" x14ac:dyDescent="0.25">
      <c r="F46" s="66" t="s">
        <v>176</v>
      </c>
      <c r="G46" s="66" t="s">
        <v>651</v>
      </c>
      <c r="H46" s="66" t="s">
        <v>127</v>
      </c>
      <c r="I46" s="66" t="s">
        <v>115</v>
      </c>
      <c r="J46" s="66"/>
      <c r="K46" s="66" t="s">
        <v>160</v>
      </c>
      <c r="L46" s="71" t="s">
        <v>161</v>
      </c>
      <c r="M46" s="66" t="s">
        <v>167</v>
      </c>
      <c r="N46" s="66"/>
      <c r="O46" s="66"/>
      <c r="P46" s="78">
        <v>1700000</v>
      </c>
      <c r="Q46" s="79" t="s">
        <v>143</v>
      </c>
      <c r="R46" s="79"/>
      <c r="S46" s="79"/>
      <c r="T46" s="79"/>
      <c r="U46" s="79" t="s">
        <v>119</v>
      </c>
      <c r="V46" s="79"/>
      <c r="W46" s="79"/>
      <c r="X46" s="66"/>
      <c r="Y46" s="79"/>
    </row>
    <row r="47" spans="6:25" ht="57.5" x14ac:dyDescent="0.25">
      <c r="F47" s="66" t="s">
        <v>179</v>
      </c>
      <c r="G47" s="66" t="s">
        <v>180</v>
      </c>
      <c r="H47" s="66" t="s">
        <v>127</v>
      </c>
      <c r="I47" s="66" t="s">
        <v>157</v>
      </c>
      <c r="J47" s="66" t="s">
        <v>759</v>
      </c>
      <c r="K47" s="66" t="s">
        <v>160</v>
      </c>
      <c r="L47" s="71" t="s">
        <v>161</v>
      </c>
      <c r="M47" s="66" t="s">
        <v>167</v>
      </c>
      <c r="N47" s="66"/>
      <c r="O47" s="66"/>
      <c r="P47" s="78">
        <v>50000</v>
      </c>
      <c r="Q47" s="79" t="s">
        <v>118</v>
      </c>
      <c r="R47" s="79"/>
      <c r="S47" s="79"/>
      <c r="T47" s="79"/>
      <c r="U47" s="79" t="s">
        <v>119</v>
      </c>
      <c r="V47" s="79"/>
      <c r="W47" s="79"/>
      <c r="X47" s="66"/>
      <c r="Y47" s="79"/>
    </row>
    <row r="48" spans="6:25" ht="103.5" x14ac:dyDescent="0.25">
      <c r="F48" s="66" t="s">
        <v>181</v>
      </c>
      <c r="G48" s="66" t="s">
        <v>652</v>
      </c>
      <c r="H48" s="66" t="s">
        <v>756</v>
      </c>
      <c r="I48" s="66" t="s">
        <v>182</v>
      </c>
      <c r="J48" s="66" t="s">
        <v>760</v>
      </c>
      <c r="K48" s="66" t="s">
        <v>183</v>
      </c>
      <c r="L48" s="66" t="s">
        <v>184</v>
      </c>
      <c r="M48" s="66" t="s">
        <v>148</v>
      </c>
      <c r="N48" s="69"/>
      <c r="O48" s="69"/>
      <c r="P48" s="81">
        <v>1650000</v>
      </c>
      <c r="Q48" s="82" t="s">
        <v>143</v>
      </c>
      <c r="R48" s="79"/>
      <c r="S48" s="80" t="s">
        <v>119</v>
      </c>
      <c r="T48" s="79"/>
      <c r="U48" s="79"/>
      <c r="V48" s="79"/>
      <c r="W48" s="79"/>
      <c r="X48" s="66"/>
      <c r="Y48" s="79" t="s">
        <v>119</v>
      </c>
    </row>
    <row r="49" spans="6:25" ht="103.5" x14ac:dyDescent="0.25">
      <c r="F49" s="66" t="s">
        <v>185</v>
      </c>
      <c r="G49" s="66" t="s">
        <v>653</v>
      </c>
      <c r="H49" s="66"/>
      <c r="I49" s="66" t="s">
        <v>182</v>
      </c>
      <c r="J49" s="66"/>
      <c r="K49" s="66" t="s">
        <v>183</v>
      </c>
      <c r="L49" s="66" t="s">
        <v>184</v>
      </c>
      <c r="M49" s="66" t="s">
        <v>148</v>
      </c>
      <c r="N49" s="69"/>
      <c r="O49" s="69"/>
      <c r="P49" s="81">
        <v>450000</v>
      </c>
      <c r="Q49" s="82" t="s">
        <v>124</v>
      </c>
      <c r="R49" s="79"/>
      <c r="S49" s="80" t="s">
        <v>119</v>
      </c>
      <c r="T49" s="79"/>
      <c r="U49" s="79"/>
      <c r="V49" s="79"/>
      <c r="W49" s="79"/>
      <c r="X49" s="66"/>
      <c r="Y49" s="79"/>
    </row>
    <row r="50" spans="6:25" ht="46" x14ac:dyDescent="0.25">
      <c r="F50" s="66" t="s">
        <v>187</v>
      </c>
      <c r="G50" s="66" t="s">
        <v>186</v>
      </c>
      <c r="H50" s="66"/>
      <c r="I50" s="66" t="s">
        <v>761</v>
      </c>
      <c r="J50" s="66"/>
      <c r="K50" s="66" t="s">
        <v>183</v>
      </c>
      <c r="L50" s="66" t="s">
        <v>184</v>
      </c>
      <c r="M50" s="66" t="s">
        <v>167</v>
      </c>
      <c r="N50" s="66"/>
      <c r="O50" s="66"/>
      <c r="P50" s="78">
        <v>1700000</v>
      </c>
      <c r="Q50" s="79" t="s">
        <v>143</v>
      </c>
      <c r="R50" s="79"/>
      <c r="S50" s="79"/>
      <c r="T50" s="79"/>
      <c r="U50" s="79" t="s">
        <v>119</v>
      </c>
      <c r="V50" s="79"/>
      <c r="W50" s="79"/>
      <c r="X50" s="66"/>
      <c r="Y50" s="79"/>
    </row>
    <row r="51" spans="6:25" ht="69" x14ac:dyDescent="0.25">
      <c r="F51" s="66" t="s">
        <v>188</v>
      </c>
      <c r="G51" s="66" t="s">
        <v>654</v>
      </c>
      <c r="H51" s="66"/>
      <c r="I51" s="66" t="s">
        <v>762</v>
      </c>
      <c r="J51" s="66"/>
      <c r="K51" s="66" t="s">
        <v>183</v>
      </c>
      <c r="L51" s="66" t="s">
        <v>184</v>
      </c>
      <c r="M51" s="66" t="s">
        <v>148</v>
      </c>
      <c r="N51" s="66"/>
      <c r="O51" s="66"/>
      <c r="P51" s="78">
        <v>850000</v>
      </c>
      <c r="Q51" s="79" t="s">
        <v>124</v>
      </c>
      <c r="R51" s="79"/>
      <c r="S51" s="79"/>
      <c r="T51" s="79" t="s">
        <v>119</v>
      </c>
      <c r="U51" s="79"/>
      <c r="V51" s="79"/>
      <c r="W51" s="79"/>
      <c r="X51" s="66"/>
      <c r="Y51" s="79"/>
    </row>
    <row r="52" spans="6:25" ht="34.5" x14ac:dyDescent="0.25">
      <c r="F52" s="66" t="s">
        <v>190</v>
      </c>
      <c r="G52" s="66" t="s">
        <v>189</v>
      </c>
      <c r="H52" s="66"/>
      <c r="I52" s="66" t="s">
        <v>115</v>
      </c>
      <c r="J52" s="66"/>
      <c r="K52" s="66" t="s">
        <v>183</v>
      </c>
      <c r="L52" s="66" t="s">
        <v>184</v>
      </c>
      <c r="M52" s="66" t="s">
        <v>167</v>
      </c>
      <c r="N52" s="66"/>
      <c r="O52" s="66"/>
      <c r="P52" s="78">
        <v>450000</v>
      </c>
      <c r="Q52" s="79" t="s">
        <v>124</v>
      </c>
      <c r="R52" s="79"/>
      <c r="S52" s="79"/>
      <c r="T52" s="79"/>
      <c r="U52" s="79" t="s">
        <v>119</v>
      </c>
      <c r="V52" s="79"/>
      <c r="W52" s="79"/>
      <c r="X52" s="66"/>
      <c r="Y52" s="79"/>
    </row>
    <row r="53" spans="6:25" ht="57.5" x14ac:dyDescent="0.25">
      <c r="F53" s="66" t="s">
        <v>191</v>
      </c>
      <c r="G53" s="66" t="s">
        <v>655</v>
      </c>
      <c r="H53" s="66"/>
      <c r="I53" s="66" t="s">
        <v>196</v>
      </c>
      <c r="J53" s="66"/>
      <c r="K53" s="66" t="s">
        <v>183</v>
      </c>
      <c r="L53" s="66" t="s">
        <v>184</v>
      </c>
      <c r="M53" s="66" t="s">
        <v>148</v>
      </c>
      <c r="N53" s="66"/>
      <c r="O53" s="66"/>
      <c r="P53" s="78">
        <v>550000</v>
      </c>
      <c r="Q53" s="79" t="s">
        <v>124</v>
      </c>
      <c r="R53" s="79"/>
      <c r="S53" s="79"/>
      <c r="T53" s="79" t="s">
        <v>119</v>
      </c>
      <c r="U53" s="79"/>
      <c r="V53" s="79"/>
      <c r="W53" s="79"/>
      <c r="X53" s="66"/>
      <c r="Y53" s="79"/>
    </row>
    <row r="54" spans="6:25" ht="46" x14ac:dyDescent="0.25">
      <c r="F54" s="66" t="s">
        <v>192</v>
      </c>
      <c r="G54" s="66" t="s">
        <v>656</v>
      </c>
      <c r="H54" s="66"/>
      <c r="I54" s="66" t="s">
        <v>115</v>
      </c>
      <c r="J54" s="66"/>
      <c r="K54" s="66" t="s">
        <v>183</v>
      </c>
      <c r="L54" s="66" t="s">
        <v>184</v>
      </c>
      <c r="M54" s="66" t="s">
        <v>167</v>
      </c>
      <c r="N54" s="66"/>
      <c r="O54" s="66"/>
      <c r="P54" s="78">
        <v>270000</v>
      </c>
      <c r="Q54" s="79" t="s">
        <v>124</v>
      </c>
      <c r="R54" s="79"/>
      <c r="S54" s="79"/>
      <c r="T54" s="79" t="s">
        <v>119</v>
      </c>
      <c r="U54" s="79"/>
      <c r="V54" s="79"/>
      <c r="W54" s="79"/>
      <c r="X54" s="66"/>
      <c r="Y54" s="79"/>
    </row>
    <row r="55" spans="6:25" ht="57.5" x14ac:dyDescent="0.25">
      <c r="F55" s="66" t="s">
        <v>194</v>
      </c>
      <c r="G55" s="66" t="s">
        <v>193</v>
      </c>
      <c r="H55" s="66"/>
      <c r="I55" s="66" t="s">
        <v>115</v>
      </c>
      <c r="J55" s="66"/>
      <c r="K55" s="66" t="s">
        <v>183</v>
      </c>
      <c r="L55" s="66" t="s">
        <v>184</v>
      </c>
      <c r="M55" s="66" t="s">
        <v>148</v>
      </c>
      <c r="N55" s="66"/>
      <c r="O55" s="66"/>
      <c r="P55" s="78">
        <v>600000</v>
      </c>
      <c r="Q55" s="79" t="s">
        <v>124</v>
      </c>
      <c r="R55" s="79"/>
      <c r="S55" s="79" t="s">
        <v>119</v>
      </c>
      <c r="T55" s="79"/>
      <c r="U55" s="79"/>
      <c r="V55" s="79"/>
      <c r="W55" s="79"/>
      <c r="X55" s="66"/>
      <c r="Y55" s="79"/>
    </row>
    <row r="56" spans="6:25" ht="46" x14ac:dyDescent="0.25">
      <c r="F56" s="66" t="s">
        <v>195</v>
      </c>
      <c r="G56" s="66" t="s">
        <v>657</v>
      </c>
      <c r="H56" s="66"/>
      <c r="I56" s="66" t="s">
        <v>115</v>
      </c>
      <c r="J56" s="66"/>
      <c r="K56" s="66" t="s">
        <v>183</v>
      </c>
      <c r="L56" s="66" t="s">
        <v>184</v>
      </c>
      <c r="M56" s="66" t="s">
        <v>148</v>
      </c>
      <c r="N56" s="66"/>
      <c r="O56" s="66"/>
      <c r="P56" s="78">
        <v>290000</v>
      </c>
      <c r="Q56" s="79" t="s">
        <v>124</v>
      </c>
      <c r="R56" s="79"/>
      <c r="S56" s="79" t="s">
        <v>119</v>
      </c>
      <c r="T56" s="79"/>
      <c r="U56" s="79"/>
      <c r="V56" s="79"/>
      <c r="W56" s="79"/>
      <c r="X56" s="66"/>
      <c r="Y56" s="79"/>
    </row>
    <row r="57" spans="6:25" ht="34.5" x14ac:dyDescent="0.25">
      <c r="F57" s="66" t="s">
        <v>197</v>
      </c>
      <c r="G57" s="66" t="s">
        <v>114</v>
      </c>
      <c r="H57" s="66"/>
      <c r="I57" s="66" t="s">
        <v>196</v>
      </c>
      <c r="J57" s="66"/>
      <c r="K57" s="66" t="s">
        <v>183</v>
      </c>
      <c r="L57" s="66" t="s">
        <v>184</v>
      </c>
      <c r="M57" s="66" t="s">
        <v>167</v>
      </c>
      <c r="N57" s="66"/>
      <c r="O57" s="66"/>
      <c r="P57" s="78">
        <v>75000</v>
      </c>
      <c r="Q57" s="79" t="s">
        <v>121</v>
      </c>
      <c r="R57" s="79"/>
      <c r="S57" s="79"/>
      <c r="T57" s="79"/>
      <c r="U57" s="79"/>
      <c r="V57" s="79" t="s">
        <v>119</v>
      </c>
      <c r="W57" s="79"/>
      <c r="X57" s="66"/>
      <c r="Y57" s="79"/>
    </row>
    <row r="58" spans="6:25" ht="46" x14ac:dyDescent="0.25">
      <c r="F58" s="66" t="s">
        <v>595</v>
      </c>
      <c r="G58" s="66" t="s">
        <v>198</v>
      </c>
      <c r="H58" s="66"/>
      <c r="I58" s="66" t="s">
        <v>115</v>
      </c>
      <c r="J58" s="66"/>
      <c r="K58" s="66" t="s">
        <v>183</v>
      </c>
      <c r="L58" s="66" t="s">
        <v>184</v>
      </c>
      <c r="M58" s="66"/>
      <c r="N58" s="66"/>
      <c r="O58" s="66"/>
      <c r="P58" s="78">
        <v>260000</v>
      </c>
      <c r="Q58" s="79" t="s">
        <v>124</v>
      </c>
      <c r="R58" s="79"/>
      <c r="S58" s="79" t="s">
        <v>119</v>
      </c>
      <c r="T58" s="79"/>
      <c r="U58" s="79"/>
      <c r="V58" s="79"/>
      <c r="W58" s="79"/>
      <c r="X58" s="66"/>
      <c r="Y58" s="79"/>
    </row>
    <row r="59" spans="6:25" ht="34.5" x14ac:dyDescent="0.25">
      <c r="F59" s="66" t="s">
        <v>596</v>
      </c>
      <c r="G59" s="66" t="s">
        <v>658</v>
      </c>
      <c r="H59" s="66"/>
      <c r="I59" s="66" t="s">
        <v>763</v>
      </c>
      <c r="J59" s="66"/>
      <c r="K59" s="66" t="s">
        <v>183</v>
      </c>
      <c r="L59" s="66" t="s">
        <v>183</v>
      </c>
      <c r="M59" s="66"/>
      <c r="N59" s="66"/>
      <c r="O59" s="66"/>
      <c r="P59" s="78">
        <v>245000</v>
      </c>
      <c r="Q59" s="79" t="s">
        <v>121</v>
      </c>
      <c r="R59" s="79"/>
      <c r="S59" s="79"/>
      <c r="T59" s="79" t="s">
        <v>119</v>
      </c>
      <c r="U59" s="79"/>
      <c r="V59" s="79"/>
      <c r="W59" s="79"/>
      <c r="X59" s="66"/>
      <c r="Y59" s="79"/>
    </row>
    <row r="60" spans="6:25" ht="34.5" x14ac:dyDescent="0.25">
      <c r="F60" s="66" t="s">
        <v>597</v>
      </c>
      <c r="G60" s="66" t="s">
        <v>659</v>
      </c>
      <c r="H60" s="66"/>
      <c r="I60" s="66" t="s">
        <v>763</v>
      </c>
      <c r="J60" s="66"/>
      <c r="K60" s="66" t="s">
        <v>183</v>
      </c>
      <c r="L60" s="66" t="s">
        <v>183</v>
      </c>
      <c r="M60" s="66" t="s">
        <v>167</v>
      </c>
      <c r="N60" s="66"/>
      <c r="O60" s="66"/>
      <c r="P60" s="78">
        <v>270000</v>
      </c>
      <c r="Q60" s="79" t="s">
        <v>124</v>
      </c>
      <c r="R60" s="79"/>
      <c r="S60" s="79"/>
      <c r="T60" s="79" t="s">
        <v>119</v>
      </c>
      <c r="U60" s="79"/>
      <c r="V60" s="79"/>
      <c r="W60" s="79"/>
      <c r="X60" s="66"/>
      <c r="Y60" s="79"/>
    </row>
    <row r="61" spans="6:25" ht="34.5" x14ac:dyDescent="0.25">
      <c r="F61" s="66" t="s">
        <v>598</v>
      </c>
      <c r="G61" s="66" t="s">
        <v>660</v>
      </c>
      <c r="H61" s="66"/>
      <c r="I61" s="66" t="s">
        <v>763</v>
      </c>
      <c r="J61" s="66"/>
      <c r="K61" s="66" t="s">
        <v>183</v>
      </c>
      <c r="L61" s="66" t="s">
        <v>183</v>
      </c>
      <c r="M61" s="66"/>
      <c r="N61" s="66"/>
      <c r="O61" s="66"/>
      <c r="P61" s="78">
        <v>120000</v>
      </c>
      <c r="Q61" s="79" t="s">
        <v>121</v>
      </c>
      <c r="R61" s="79"/>
      <c r="S61" s="79"/>
      <c r="T61" s="79" t="s">
        <v>119</v>
      </c>
      <c r="U61" s="79"/>
      <c r="V61" s="79"/>
      <c r="W61" s="79"/>
      <c r="X61" s="66"/>
      <c r="Y61" s="79"/>
    </row>
    <row r="62" spans="6:25" ht="69" x14ac:dyDescent="0.25">
      <c r="F62" s="66" t="s">
        <v>199</v>
      </c>
      <c r="G62" s="66" t="s">
        <v>150</v>
      </c>
      <c r="H62" s="66"/>
      <c r="I62" s="66" t="s">
        <v>177</v>
      </c>
      <c r="J62" s="66" t="s">
        <v>764</v>
      </c>
      <c r="K62" s="66" t="s">
        <v>200</v>
      </c>
      <c r="L62" s="66" t="s">
        <v>178</v>
      </c>
      <c r="M62" s="66" t="s">
        <v>851</v>
      </c>
      <c r="N62" s="66"/>
      <c r="O62" s="66"/>
      <c r="P62" s="78">
        <v>50000</v>
      </c>
      <c r="Q62" s="79" t="s">
        <v>118</v>
      </c>
      <c r="R62" s="79"/>
      <c r="S62" s="79"/>
      <c r="T62" s="79"/>
      <c r="U62" s="79"/>
      <c r="V62" s="79" t="s">
        <v>119</v>
      </c>
      <c r="W62" s="79"/>
      <c r="X62" s="66"/>
      <c r="Y62" s="79"/>
    </row>
    <row r="63" spans="6:25" ht="46" x14ac:dyDescent="0.25">
      <c r="F63" s="66" t="s">
        <v>201</v>
      </c>
      <c r="G63" s="66" t="s">
        <v>661</v>
      </c>
      <c r="H63" s="66"/>
      <c r="I63" s="66" t="s">
        <v>765</v>
      </c>
      <c r="J63" s="66"/>
      <c r="K63" s="66" t="s">
        <v>200</v>
      </c>
      <c r="L63" s="66" t="s">
        <v>205</v>
      </c>
      <c r="M63" s="66" t="s">
        <v>148</v>
      </c>
      <c r="N63" s="66"/>
      <c r="O63" s="66"/>
      <c r="P63" s="78">
        <v>865000</v>
      </c>
      <c r="Q63" s="79" t="s">
        <v>124</v>
      </c>
      <c r="R63" s="79"/>
      <c r="S63" s="79" t="s">
        <v>119</v>
      </c>
      <c r="T63" s="79"/>
      <c r="U63" s="79"/>
      <c r="V63" s="79"/>
      <c r="W63" s="79"/>
      <c r="X63" s="66"/>
      <c r="Y63" s="79"/>
    </row>
    <row r="64" spans="6:25" ht="57.5" x14ac:dyDescent="0.25">
      <c r="F64" s="66" t="s">
        <v>202</v>
      </c>
      <c r="G64" s="66" t="s">
        <v>662</v>
      </c>
      <c r="H64" s="66"/>
      <c r="I64" s="66" t="s">
        <v>166</v>
      </c>
      <c r="J64" s="66"/>
      <c r="K64" s="66" t="s">
        <v>200</v>
      </c>
      <c r="L64" s="66" t="s">
        <v>166</v>
      </c>
      <c r="M64" s="66" t="s">
        <v>148</v>
      </c>
      <c r="N64" s="66"/>
      <c r="O64" s="66"/>
      <c r="P64" s="78">
        <v>750000</v>
      </c>
      <c r="Q64" s="79" t="s">
        <v>124</v>
      </c>
      <c r="R64" s="79"/>
      <c r="S64" s="79" t="s">
        <v>119</v>
      </c>
      <c r="T64" s="79"/>
      <c r="U64" s="79"/>
      <c r="V64" s="79"/>
      <c r="W64" s="79"/>
      <c r="X64" s="66"/>
      <c r="Y64" s="79"/>
    </row>
    <row r="65" spans="6:25" ht="34.5" x14ac:dyDescent="0.25">
      <c r="F65" s="66" t="s">
        <v>204</v>
      </c>
      <c r="G65" s="66" t="s">
        <v>663</v>
      </c>
      <c r="H65" s="66"/>
      <c r="I65" s="66" t="s">
        <v>203</v>
      </c>
      <c r="J65" s="66" t="s">
        <v>129</v>
      </c>
      <c r="K65" s="66" t="s">
        <v>200</v>
      </c>
      <c r="L65" s="66" t="s">
        <v>161</v>
      </c>
      <c r="M65" s="66" t="s">
        <v>148</v>
      </c>
      <c r="N65" s="66"/>
      <c r="O65" s="66"/>
      <c r="P65" s="78">
        <v>100000</v>
      </c>
      <c r="Q65" s="79" t="s">
        <v>121</v>
      </c>
      <c r="R65" s="79"/>
      <c r="S65" s="79" t="s">
        <v>119</v>
      </c>
      <c r="T65" s="79"/>
      <c r="U65" s="79"/>
      <c r="V65" s="79"/>
      <c r="W65" s="79"/>
      <c r="X65" s="66"/>
      <c r="Y65" s="79"/>
    </row>
    <row r="66" spans="6:25" ht="80.5" x14ac:dyDescent="0.25">
      <c r="F66" s="66" t="s">
        <v>206</v>
      </c>
      <c r="G66" s="66" t="s">
        <v>664</v>
      </c>
      <c r="H66" s="66"/>
      <c r="I66" s="66" t="s">
        <v>203</v>
      </c>
      <c r="J66" s="66" t="s">
        <v>766</v>
      </c>
      <c r="K66" s="66" t="s">
        <v>200</v>
      </c>
      <c r="L66" s="66" t="s">
        <v>205</v>
      </c>
      <c r="M66" s="66"/>
      <c r="N66" s="66"/>
      <c r="O66" s="66"/>
      <c r="P66" s="78">
        <v>1900000</v>
      </c>
      <c r="Q66" s="79" t="s">
        <v>143</v>
      </c>
      <c r="R66" s="79"/>
      <c r="S66" s="79" t="s">
        <v>119</v>
      </c>
      <c r="T66" s="79"/>
      <c r="U66" s="79" t="s">
        <v>119</v>
      </c>
      <c r="V66" s="79"/>
      <c r="W66" s="79"/>
      <c r="X66" s="66"/>
      <c r="Y66" s="79"/>
    </row>
    <row r="67" spans="6:25" ht="69" x14ac:dyDescent="0.25">
      <c r="F67" s="66" t="s">
        <v>208</v>
      </c>
      <c r="G67" s="66" t="s">
        <v>665</v>
      </c>
      <c r="H67" s="66"/>
      <c r="I67" s="66" t="s">
        <v>207</v>
      </c>
      <c r="J67" s="66" t="s">
        <v>767</v>
      </c>
      <c r="K67" s="66" t="s">
        <v>200</v>
      </c>
      <c r="L67" s="66" t="s">
        <v>166</v>
      </c>
      <c r="M67" s="66" t="s">
        <v>852</v>
      </c>
      <c r="N67" s="66"/>
      <c r="O67" s="66"/>
      <c r="P67" s="78">
        <v>1100000</v>
      </c>
      <c r="Q67" s="79" t="s">
        <v>143</v>
      </c>
      <c r="R67" s="79"/>
      <c r="S67" s="79" t="s">
        <v>119</v>
      </c>
      <c r="T67" s="79"/>
      <c r="U67" s="79" t="s">
        <v>119</v>
      </c>
      <c r="V67" s="79"/>
      <c r="W67" s="79"/>
      <c r="X67" s="66"/>
      <c r="Y67" s="79"/>
    </row>
    <row r="68" spans="6:25" ht="57.5" x14ac:dyDescent="0.25">
      <c r="F68" s="66" t="s">
        <v>209</v>
      </c>
      <c r="G68" s="66" t="s">
        <v>666</v>
      </c>
      <c r="H68" s="66"/>
      <c r="I68" s="66" t="s">
        <v>159</v>
      </c>
      <c r="J68" s="66" t="s">
        <v>768</v>
      </c>
      <c r="K68" s="66" t="s">
        <v>200</v>
      </c>
      <c r="L68" s="66" t="s">
        <v>131</v>
      </c>
      <c r="M68" s="66" t="s">
        <v>852</v>
      </c>
      <c r="N68" s="66"/>
      <c r="O68" s="66"/>
      <c r="P68" s="78">
        <v>300000</v>
      </c>
      <c r="Q68" s="79" t="s">
        <v>124</v>
      </c>
      <c r="R68" s="79"/>
      <c r="S68" s="79" t="s">
        <v>119</v>
      </c>
      <c r="T68" s="79"/>
      <c r="U68" s="79"/>
      <c r="V68" s="79"/>
      <c r="W68" s="79"/>
      <c r="X68" s="66"/>
      <c r="Y68" s="79"/>
    </row>
    <row r="69" spans="6:25" ht="103.5" x14ac:dyDescent="0.25">
      <c r="F69" s="66" t="s">
        <v>211</v>
      </c>
      <c r="G69" s="66" t="s">
        <v>210</v>
      </c>
      <c r="H69" s="66" t="s">
        <v>769</v>
      </c>
      <c r="I69" s="66" t="s">
        <v>128</v>
      </c>
      <c r="J69" s="66" t="s">
        <v>770</v>
      </c>
      <c r="K69" s="66" t="s">
        <v>200</v>
      </c>
      <c r="L69" s="66" t="s">
        <v>131</v>
      </c>
      <c r="M69" s="66"/>
      <c r="N69" s="66"/>
      <c r="O69" s="66"/>
      <c r="P69" s="78">
        <v>600000</v>
      </c>
      <c r="Q69" s="79" t="s">
        <v>124</v>
      </c>
      <c r="R69" s="79"/>
      <c r="S69" s="80" t="s">
        <v>119</v>
      </c>
      <c r="T69" s="79"/>
      <c r="U69" s="79"/>
      <c r="V69" s="79"/>
      <c r="W69" s="79"/>
      <c r="X69" s="66"/>
      <c r="Y69" s="79" t="s">
        <v>119</v>
      </c>
    </row>
    <row r="70" spans="6:25" ht="115" x14ac:dyDescent="0.25">
      <c r="F70" s="66" t="s">
        <v>212</v>
      </c>
      <c r="G70" s="66" t="s">
        <v>667</v>
      </c>
      <c r="H70" s="66"/>
      <c r="I70" s="66" t="s">
        <v>177</v>
      </c>
      <c r="J70" s="66" t="s">
        <v>771</v>
      </c>
      <c r="K70" s="66" t="s">
        <v>200</v>
      </c>
      <c r="L70" s="66" t="s">
        <v>131</v>
      </c>
      <c r="M70" s="66" t="s">
        <v>142</v>
      </c>
      <c r="N70" s="66"/>
      <c r="O70" s="66"/>
      <c r="P70" s="78">
        <v>1700000</v>
      </c>
      <c r="Q70" s="79" t="s">
        <v>143</v>
      </c>
      <c r="R70" s="79"/>
      <c r="S70" s="79" t="s">
        <v>119</v>
      </c>
      <c r="T70" s="79"/>
      <c r="U70" s="79"/>
      <c r="V70" s="79"/>
      <c r="W70" s="79"/>
      <c r="X70" s="66"/>
      <c r="Y70" s="79"/>
    </row>
    <row r="71" spans="6:25" ht="241.5" x14ac:dyDescent="0.25">
      <c r="F71" s="66" t="s">
        <v>599</v>
      </c>
      <c r="G71" s="66" t="s">
        <v>213</v>
      </c>
      <c r="H71" s="66" t="s">
        <v>772</v>
      </c>
      <c r="I71" s="66" t="s">
        <v>214</v>
      </c>
      <c r="J71" s="66" t="s">
        <v>773</v>
      </c>
      <c r="K71" s="66" t="s">
        <v>200</v>
      </c>
      <c r="L71" s="66" t="s">
        <v>131</v>
      </c>
      <c r="M71" s="66" t="s">
        <v>852</v>
      </c>
      <c r="N71" s="66"/>
      <c r="O71" s="66"/>
      <c r="P71" s="78">
        <v>3000000</v>
      </c>
      <c r="Q71" s="79" t="s">
        <v>143</v>
      </c>
      <c r="R71" s="79"/>
      <c r="S71" s="80" t="s">
        <v>119</v>
      </c>
      <c r="T71" s="79"/>
      <c r="U71" s="79"/>
      <c r="V71" s="79"/>
      <c r="W71" s="79"/>
      <c r="X71" s="66"/>
      <c r="Y71" s="79" t="s">
        <v>119</v>
      </c>
    </row>
    <row r="72" spans="6:25" ht="115" x14ac:dyDescent="0.25">
      <c r="F72" s="66" t="s">
        <v>215</v>
      </c>
      <c r="G72" s="66" t="s">
        <v>668</v>
      </c>
      <c r="H72" s="66" t="s">
        <v>127</v>
      </c>
      <c r="I72" s="66" t="s">
        <v>774</v>
      </c>
      <c r="J72" s="66"/>
      <c r="K72" s="66" t="s">
        <v>217</v>
      </c>
      <c r="L72" s="66" t="s">
        <v>218</v>
      </c>
      <c r="M72" s="66" t="s">
        <v>148</v>
      </c>
      <c r="N72" s="66"/>
      <c r="O72" s="66"/>
      <c r="P72" s="78">
        <v>250000</v>
      </c>
      <c r="Q72" s="79" t="s">
        <v>124</v>
      </c>
      <c r="R72" s="79"/>
      <c r="S72" s="80" t="s">
        <v>119</v>
      </c>
      <c r="T72" s="79"/>
      <c r="U72" s="79"/>
      <c r="V72" s="79"/>
      <c r="W72" s="79"/>
      <c r="X72" s="66"/>
      <c r="Y72" s="79"/>
    </row>
    <row r="73" spans="6:25" ht="115" x14ac:dyDescent="0.25">
      <c r="F73" s="66" t="s">
        <v>219</v>
      </c>
      <c r="G73" s="66" t="s">
        <v>669</v>
      </c>
      <c r="H73" s="66" t="s">
        <v>127</v>
      </c>
      <c r="I73" s="66" t="s">
        <v>774</v>
      </c>
      <c r="J73" s="66"/>
      <c r="K73" s="66" t="s">
        <v>217</v>
      </c>
      <c r="L73" s="66" t="s">
        <v>218</v>
      </c>
      <c r="M73" s="66" t="s">
        <v>148</v>
      </c>
      <c r="N73" s="66"/>
      <c r="O73" s="66"/>
      <c r="P73" s="78">
        <v>520000</v>
      </c>
      <c r="Q73" s="79" t="s">
        <v>124</v>
      </c>
      <c r="R73" s="79"/>
      <c r="S73" s="80" t="s">
        <v>119</v>
      </c>
      <c r="T73" s="79"/>
      <c r="U73" s="79"/>
      <c r="V73" s="79"/>
      <c r="W73" s="79"/>
      <c r="X73" s="66"/>
      <c r="Y73" s="79"/>
    </row>
    <row r="74" spans="6:25" ht="57.5" x14ac:dyDescent="0.25">
      <c r="F74" s="66" t="s">
        <v>220</v>
      </c>
      <c r="G74" s="66" t="s">
        <v>222</v>
      </c>
      <c r="H74" s="66"/>
      <c r="I74" s="66" t="s">
        <v>223</v>
      </c>
      <c r="J74" s="71" t="s">
        <v>775</v>
      </c>
      <c r="K74" s="71" t="s">
        <v>217</v>
      </c>
      <c r="L74" s="71" t="s">
        <v>161</v>
      </c>
      <c r="M74" s="66" t="s">
        <v>148</v>
      </c>
      <c r="N74" s="66" t="s">
        <v>915</v>
      </c>
      <c r="O74" s="66"/>
      <c r="P74" s="78">
        <v>160000</v>
      </c>
      <c r="Q74" s="79" t="s">
        <v>121</v>
      </c>
      <c r="R74" s="79"/>
      <c r="S74" s="80" t="s">
        <v>119</v>
      </c>
      <c r="T74" s="79"/>
      <c r="U74" s="79"/>
      <c r="V74" s="79"/>
      <c r="W74" s="79"/>
      <c r="X74" s="66"/>
      <c r="Y74" s="79"/>
    </row>
    <row r="75" spans="6:25" ht="92" x14ac:dyDescent="0.25">
      <c r="F75" s="66" t="s">
        <v>221</v>
      </c>
      <c r="G75" s="66" t="s">
        <v>670</v>
      </c>
      <c r="H75" s="66"/>
      <c r="I75" s="66" t="s">
        <v>776</v>
      </c>
      <c r="J75" s="66"/>
      <c r="K75" s="66" t="s">
        <v>217</v>
      </c>
      <c r="L75" s="66" t="s">
        <v>166</v>
      </c>
      <c r="M75" s="66" t="s">
        <v>148</v>
      </c>
      <c r="N75" s="66"/>
      <c r="O75" s="66"/>
      <c r="P75" s="78">
        <v>830000</v>
      </c>
      <c r="Q75" s="79" t="s">
        <v>124</v>
      </c>
      <c r="R75" s="79"/>
      <c r="S75" s="79" t="s">
        <v>119</v>
      </c>
      <c r="T75" s="79"/>
      <c r="U75" s="79"/>
      <c r="V75" s="79"/>
      <c r="W75" s="79"/>
      <c r="X75" s="66"/>
      <c r="Y75" s="79"/>
    </row>
    <row r="76" spans="6:25" ht="34.5" x14ac:dyDescent="0.25">
      <c r="F76" s="66" t="s">
        <v>224</v>
      </c>
      <c r="G76" s="66" t="s">
        <v>227</v>
      </c>
      <c r="H76" s="66"/>
      <c r="I76" s="66" t="s">
        <v>225</v>
      </c>
      <c r="J76" s="66"/>
      <c r="K76" s="66" t="s">
        <v>217</v>
      </c>
      <c r="L76" s="66" t="s">
        <v>166</v>
      </c>
      <c r="M76" s="66" t="s">
        <v>148</v>
      </c>
      <c r="N76" s="66"/>
      <c r="O76" s="66"/>
      <c r="P76" s="78">
        <v>270000</v>
      </c>
      <c r="Q76" s="79" t="s">
        <v>124</v>
      </c>
      <c r="R76" s="79"/>
      <c r="S76" s="79" t="s">
        <v>119</v>
      </c>
      <c r="T76" s="79"/>
      <c r="U76" s="79"/>
      <c r="V76" s="79"/>
      <c r="W76" s="79"/>
      <c r="X76" s="66"/>
      <c r="Y76" s="79"/>
    </row>
    <row r="77" spans="6:25" ht="46" x14ac:dyDescent="0.25">
      <c r="F77" s="66" t="s">
        <v>226</v>
      </c>
      <c r="G77" s="66" t="s">
        <v>671</v>
      </c>
      <c r="H77" s="66"/>
      <c r="I77" s="66" t="s">
        <v>225</v>
      </c>
      <c r="J77" s="66"/>
      <c r="K77" s="66" t="s">
        <v>217</v>
      </c>
      <c r="L77" s="66" t="s">
        <v>166</v>
      </c>
      <c r="M77" s="66" t="s">
        <v>148</v>
      </c>
      <c r="N77" s="66"/>
      <c r="O77" s="66"/>
      <c r="P77" s="78">
        <v>575000</v>
      </c>
      <c r="Q77" s="79" t="s">
        <v>124</v>
      </c>
      <c r="R77" s="79"/>
      <c r="S77" s="79" t="s">
        <v>119</v>
      </c>
      <c r="T77" s="79"/>
      <c r="U77" s="79"/>
      <c r="V77" s="79"/>
      <c r="W77" s="79"/>
      <c r="X77" s="66"/>
      <c r="Y77" s="79"/>
    </row>
    <row r="78" spans="6:25" ht="34.5" x14ac:dyDescent="0.25">
      <c r="F78" s="66" t="s">
        <v>228</v>
      </c>
      <c r="G78" s="66" t="s">
        <v>672</v>
      </c>
      <c r="H78" s="66"/>
      <c r="I78" s="66" t="s">
        <v>115</v>
      </c>
      <c r="J78" s="66"/>
      <c r="K78" s="66" t="s">
        <v>217</v>
      </c>
      <c r="L78" s="66" t="s">
        <v>166</v>
      </c>
      <c r="M78" s="66" t="s">
        <v>167</v>
      </c>
      <c r="N78" s="66"/>
      <c r="O78" s="66"/>
      <c r="P78" s="78">
        <v>1700000</v>
      </c>
      <c r="Q78" s="79" t="s">
        <v>143</v>
      </c>
      <c r="R78" s="79"/>
      <c r="S78" s="79"/>
      <c r="T78" s="79"/>
      <c r="U78" s="79" t="s">
        <v>119</v>
      </c>
      <c r="V78" s="79"/>
      <c r="W78" s="79"/>
      <c r="X78" s="66"/>
      <c r="Y78" s="79"/>
    </row>
    <row r="79" spans="6:25" ht="57.5" x14ac:dyDescent="0.25">
      <c r="F79" s="66" t="s">
        <v>229</v>
      </c>
      <c r="G79" s="66" t="s">
        <v>230</v>
      </c>
      <c r="H79" s="66"/>
      <c r="I79" s="66" t="s">
        <v>216</v>
      </c>
      <c r="J79" s="66"/>
      <c r="K79" s="66" t="s">
        <v>217</v>
      </c>
      <c r="L79" s="66" t="s">
        <v>166</v>
      </c>
      <c r="M79" s="66" t="s">
        <v>148</v>
      </c>
      <c r="N79" s="66"/>
      <c r="O79" s="66"/>
      <c r="P79" s="78">
        <v>4600000</v>
      </c>
      <c r="Q79" s="79" t="s">
        <v>143</v>
      </c>
      <c r="R79" s="79"/>
      <c r="S79" s="79" t="s">
        <v>119</v>
      </c>
      <c r="T79" s="79"/>
      <c r="U79" s="79"/>
      <c r="V79" s="79"/>
      <c r="W79" s="79"/>
      <c r="X79" s="66"/>
      <c r="Y79" s="79"/>
    </row>
    <row r="80" spans="6:25" ht="80.5" x14ac:dyDescent="0.25">
      <c r="F80" s="66" t="s">
        <v>600</v>
      </c>
      <c r="G80" s="66" t="s">
        <v>232</v>
      </c>
      <c r="H80" s="66" t="s">
        <v>756</v>
      </c>
      <c r="I80" s="66" t="s">
        <v>115</v>
      </c>
      <c r="J80" s="66" t="s">
        <v>777</v>
      </c>
      <c r="K80" s="66" t="s">
        <v>217</v>
      </c>
      <c r="L80" s="66" t="s">
        <v>161</v>
      </c>
      <c r="M80" s="66" t="s">
        <v>148</v>
      </c>
      <c r="N80" s="66"/>
      <c r="O80" s="66"/>
      <c r="P80" s="78">
        <v>145000</v>
      </c>
      <c r="Q80" s="79" t="s">
        <v>121</v>
      </c>
      <c r="R80" s="79"/>
      <c r="S80" s="79"/>
      <c r="T80" s="79" t="s">
        <v>119</v>
      </c>
      <c r="U80" s="79"/>
      <c r="V80" s="79"/>
      <c r="W80" s="79"/>
      <c r="X80" s="66"/>
      <c r="Y80" s="79" t="s">
        <v>119</v>
      </c>
    </row>
    <row r="81" spans="6:25" ht="34.5" x14ac:dyDescent="0.25">
      <c r="F81" s="66" t="s">
        <v>231</v>
      </c>
      <c r="G81" s="66" t="s">
        <v>673</v>
      </c>
      <c r="H81" s="66"/>
      <c r="I81" s="66" t="s">
        <v>174</v>
      </c>
      <c r="J81" s="66"/>
      <c r="K81" s="66" t="s">
        <v>217</v>
      </c>
      <c r="L81" s="66" t="s">
        <v>161</v>
      </c>
      <c r="M81" s="66" t="s">
        <v>148</v>
      </c>
      <c r="N81" s="66"/>
      <c r="O81" s="66"/>
      <c r="P81" s="78">
        <v>360000</v>
      </c>
      <c r="Q81" s="79" t="s">
        <v>124</v>
      </c>
      <c r="R81" s="79"/>
      <c r="S81" s="79" t="s">
        <v>119</v>
      </c>
      <c r="T81" s="79"/>
      <c r="U81" s="79"/>
      <c r="V81" s="79"/>
      <c r="W81" s="79"/>
      <c r="X81" s="66"/>
      <c r="Y81" s="79"/>
    </row>
    <row r="82" spans="6:25" ht="57.5" x14ac:dyDescent="0.25">
      <c r="F82" s="66" t="s">
        <v>233</v>
      </c>
      <c r="G82" s="66" t="s">
        <v>674</v>
      </c>
      <c r="H82" s="66"/>
      <c r="I82" s="66" t="s">
        <v>235</v>
      </c>
      <c r="J82" s="71" t="s">
        <v>775</v>
      </c>
      <c r="K82" s="66" t="s">
        <v>217</v>
      </c>
      <c r="L82" s="66" t="s">
        <v>161</v>
      </c>
      <c r="M82" s="66" t="s">
        <v>148</v>
      </c>
      <c r="N82" s="66" t="s">
        <v>915</v>
      </c>
      <c r="O82" s="66"/>
      <c r="P82" s="78">
        <v>360000</v>
      </c>
      <c r="Q82" s="79" t="s">
        <v>124</v>
      </c>
      <c r="R82" s="79"/>
      <c r="S82" s="79" t="s">
        <v>119</v>
      </c>
      <c r="T82" s="79"/>
      <c r="U82" s="79"/>
      <c r="V82" s="79"/>
      <c r="W82" s="79"/>
      <c r="X82" s="66"/>
      <c r="Y82" s="79"/>
    </row>
    <row r="83" spans="6:25" ht="34.5" x14ac:dyDescent="0.25">
      <c r="F83" s="66" t="s">
        <v>234</v>
      </c>
      <c r="G83" s="66" t="s">
        <v>237</v>
      </c>
      <c r="H83" s="66"/>
      <c r="I83" s="66" t="s">
        <v>172</v>
      </c>
      <c r="J83" s="71" t="s">
        <v>775</v>
      </c>
      <c r="K83" s="66" t="s">
        <v>217</v>
      </c>
      <c r="L83" s="66" t="s">
        <v>161</v>
      </c>
      <c r="M83" s="66" t="s">
        <v>148</v>
      </c>
      <c r="N83" s="66" t="s">
        <v>915</v>
      </c>
      <c r="O83" s="66"/>
      <c r="P83" s="78">
        <v>600000</v>
      </c>
      <c r="Q83" s="79" t="s">
        <v>124</v>
      </c>
      <c r="R83" s="79"/>
      <c r="S83" s="79" t="s">
        <v>119</v>
      </c>
      <c r="T83" s="79"/>
      <c r="U83" s="79"/>
      <c r="V83" s="79"/>
      <c r="W83" s="79"/>
      <c r="X83" s="66"/>
      <c r="Y83" s="79"/>
    </row>
    <row r="84" spans="6:25" ht="34.5" x14ac:dyDescent="0.25">
      <c r="F84" s="66" t="s">
        <v>236</v>
      </c>
      <c r="G84" s="66" t="s">
        <v>239</v>
      </c>
      <c r="H84" s="66"/>
      <c r="I84" s="66" t="s">
        <v>115</v>
      </c>
      <c r="J84" s="71" t="s">
        <v>775</v>
      </c>
      <c r="K84" s="66" t="s">
        <v>217</v>
      </c>
      <c r="L84" s="66" t="s">
        <v>161</v>
      </c>
      <c r="M84" s="66" t="s">
        <v>148</v>
      </c>
      <c r="N84" s="66" t="s">
        <v>915</v>
      </c>
      <c r="O84" s="66"/>
      <c r="P84" s="78">
        <v>685000</v>
      </c>
      <c r="Q84" s="79" t="s">
        <v>124</v>
      </c>
      <c r="R84" s="79"/>
      <c r="S84" s="79" t="s">
        <v>119</v>
      </c>
      <c r="T84" s="79"/>
      <c r="U84" s="79"/>
      <c r="V84" s="79"/>
      <c r="W84" s="79"/>
      <c r="X84" s="66"/>
      <c r="Y84" s="79"/>
    </row>
    <row r="85" spans="6:25" ht="34.5" x14ac:dyDescent="0.25">
      <c r="F85" s="66" t="s">
        <v>238</v>
      </c>
      <c r="G85" s="66" t="s">
        <v>150</v>
      </c>
      <c r="H85" s="66"/>
      <c r="I85" s="66" t="s">
        <v>115</v>
      </c>
      <c r="J85" s="66"/>
      <c r="K85" s="66" t="s">
        <v>217</v>
      </c>
      <c r="L85" s="66" t="s">
        <v>240</v>
      </c>
      <c r="M85" s="66" t="s">
        <v>167</v>
      </c>
      <c r="N85" s="66"/>
      <c r="O85" s="66"/>
      <c r="P85" s="78">
        <v>75000</v>
      </c>
      <c r="Q85" s="79" t="s">
        <v>121</v>
      </c>
      <c r="R85" s="79"/>
      <c r="S85" s="79"/>
      <c r="T85" s="79"/>
      <c r="U85" s="79"/>
      <c r="V85" s="79" t="s">
        <v>119</v>
      </c>
      <c r="W85" s="79"/>
      <c r="X85" s="66"/>
      <c r="Y85" s="79"/>
    </row>
    <row r="86" spans="6:25" ht="57.5" x14ac:dyDescent="0.25">
      <c r="F86" s="66" t="s">
        <v>241</v>
      </c>
      <c r="G86" s="66" t="s">
        <v>150</v>
      </c>
      <c r="H86" s="66"/>
      <c r="I86" s="66" t="s">
        <v>115</v>
      </c>
      <c r="J86" s="66" t="s">
        <v>778</v>
      </c>
      <c r="K86" s="66" t="s">
        <v>242</v>
      </c>
      <c r="L86" s="66" t="s">
        <v>243</v>
      </c>
      <c r="M86" s="66" t="s">
        <v>853</v>
      </c>
      <c r="N86" s="66" t="s">
        <v>919</v>
      </c>
      <c r="O86" s="66" t="s">
        <v>920</v>
      </c>
      <c r="P86" s="78">
        <v>50000</v>
      </c>
      <c r="Q86" s="79" t="s">
        <v>118</v>
      </c>
      <c r="R86" s="79"/>
      <c r="S86" s="79"/>
      <c r="T86" s="79"/>
      <c r="U86" s="79"/>
      <c r="V86" s="79" t="s">
        <v>119</v>
      </c>
      <c r="W86" s="79"/>
      <c r="X86" s="66"/>
      <c r="Y86" s="79"/>
    </row>
    <row r="87" spans="6:25" ht="57.5" x14ac:dyDescent="0.25">
      <c r="F87" s="66" t="s">
        <v>244</v>
      </c>
      <c r="G87" s="66" t="s">
        <v>675</v>
      </c>
      <c r="H87" s="66"/>
      <c r="I87" s="66" t="s">
        <v>115</v>
      </c>
      <c r="J87" s="66" t="s">
        <v>779</v>
      </c>
      <c r="K87" s="66" t="s">
        <v>242</v>
      </c>
      <c r="L87" s="66" t="s">
        <v>243</v>
      </c>
      <c r="M87" s="66" t="s">
        <v>142</v>
      </c>
      <c r="N87" s="66" t="s">
        <v>142</v>
      </c>
      <c r="O87" s="66" t="s">
        <v>916</v>
      </c>
      <c r="P87" s="78">
        <v>50000</v>
      </c>
      <c r="Q87" s="79" t="s">
        <v>118</v>
      </c>
      <c r="R87" s="79"/>
      <c r="S87" s="79"/>
      <c r="T87" s="79" t="s">
        <v>119</v>
      </c>
      <c r="U87" s="79"/>
      <c r="V87" s="79"/>
      <c r="W87" s="79"/>
      <c r="X87" s="66"/>
      <c r="Y87" s="79"/>
    </row>
    <row r="88" spans="6:25" ht="57.5" x14ac:dyDescent="0.25">
      <c r="F88" s="66" t="s">
        <v>601</v>
      </c>
      <c r="G88" s="66" t="s">
        <v>676</v>
      </c>
      <c r="H88" s="66"/>
      <c r="I88" s="66" t="s">
        <v>763</v>
      </c>
      <c r="J88" s="66"/>
      <c r="K88" s="66"/>
      <c r="L88" s="66" t="s">
        <v>184</v>
      </c>
      <c r="M88" s="66"/>
      <c r="N88" s="66"/>
      <c r="O88" s="66"/>
      <c r="P88" s="78">
        <v>2200000</v>
      </c>
      <c r="Q88" s="79" t="s">
        <v>143</v>
      </c>
      <c r="R88" s="79" t="s">
        <v>119</v>
      </c>
      <c r="S88" s="79" t="s">
        <v>119</v>
      </c>
      <c r="T88" s="79"/>
      <c r="U88" s="79"/>
      <c r="V88" s="79"/>
      <c r="W88" s="79"/>
      <c r="X88" s="66"/>
      <c r="Y88" s="79"/>
    </row>
    <row r="89" spans="6:25" ht="34.5" x14ac:dyDescent="0.25">
      <c r="F89" s="66" t="s">
        <v>602</v>
      </c>
      <c r="G89" s="66" t="s">
        <v>677</v>
      </c>
      <c r="H89" s="66"/>
      <c r="I89" s="66" t="s">
        <v>763</v>
      </c>
      <c r="J89" s="66"/>
      <c r="K89" s="66"/>
      <c r="L89" s="66" t="s">
        <v>184</v>
      </c>
      <c r="M89" s="66"/>
      <c r="N89" s="66"/>
      <c r="O89" s="66"/>
      <c r="P89" s="78">
        <v>720000</v>
      </c>
      <c r="Q89" s="79" t="s">
        <v>124</v>
      </c>
      <c r="R89" s="79" t="s">
        <v>119</v>
      </c>
      <c r="S89" s="79" t="s">
        <v>119</v>
      </c>
      <c r="T89" s="79"/>
      <c r="U89" s="79"/>
      <c r="V89" s="79"/>
      <c r="W89" s="79"/>
      <c r="X89" s="66"/>
      <c r="Y89" s="79"/>
    </row>
    <row r="90" spans="6:25" ht="34.5" x14ac:dyDescent="0.25">
      <c r="F90" s="66" t="s">
        <v>603</v>
      </c>
      <c r="G90" s="66" t="s">
        <v>678</v>
      </c>
      <c r="H90" s="66"/>
      <c r="I90" s="66" t="s">
        <v>763</v>
      </c>
      <c r="J90" s="66"/>
      <c r="K90" s="66"/>
      <c r="L90" s="66" t="s">
        <v>184</v>
      </c>
      <c r="M90" s="66"/>
      <c r="N90" s="66"/>
      <c r="O90" s="66"/>
      <c r="P90" s="78">
        <v>260000</v>
      </c>
      <c r="Q90" s="79" t="s">
        <v>124</v>
      </c>
      <c r="R90" s="79" t="s">
        <v>119</v>
      </c>
      <c r="S90" s="79" t="s">
        <v>119</v>
      </c>
      <c r="T90" s="79"/>
      <c r="U90" s="79"/>
      <c r="V90" s="79"/>
      <c r="W90" s="79"/>
      <c r="X90" s="66"/>
      <c r="Y90" s="79"/>
    </row>
    <row r="91" spans="6:25" ht="57.5" x14ac:dyDescent="0.25">
      <c r="F91" s="66" t="s">
        <v>604</v>
      </c>
      <c r="G91" s="66" t="s">
        <v>679</v>
      </c>
      <c r="H91" s="66"/>
      <c r="I91" s="66" t="s">
        <v>763</v>
      </c>
      <c r="J91" s="66"/>
      <c r="K91" s="66"/>
      <c r="L91" s="66" t="s">
        <v>184</v>
      </c>
      <c r="M91" s="66" t="s">
        <v>137</v>
      </c>
      <c r="N91" s="66"/>
      <c r="O91" s="66"/>
      <c r="P91" s="78">
        <v>2000000</v>
      </c>
      <c r="Q91" s="79" t="s">
        <v>143</v>
      </c>
      <c r="R91" s="79" t="s">
        <v>119</v>
      </c>
      <c r="S91" s="79" t="s">
        <v>119</v>
      </c>
      <c r="T91" s="79"/>
      <c r="U91" s="79"/>
      <c r="V91" s="79"/>
      <c r="W91" s="79"/>
      <c r="X91" s="66"/>
      <c r="Y91" s="79"/>
    </row>
    <row r="92" spans="6:25" ht="34.5" x14ac:dyDescent="0.25">
      <c r="F92" s="66" t="s">
        <v>605</v>
      </c>
      <c r="G92" s="69" t="s">
        <v>680</v>
      </c>
      <c r="H92" s="69"/>
      <c r="I92" s="66" t="s">
        <v>763</v>
      </c>
      <c r="J92" s="66"/>
      <c r="K92" s="69"/>
      <c r="L92" s="66" t="s">
        <v>184</v>
      </c>
      <c r="M92" s="66"/>
      <c r="N92" s="69"/>
      <c r="O92" s="69"/>
      <c r="P92" s="81">
        <v>3600000</v>
      </c>
      <c r="Q92" s="79" t="s">
        <v>143</v>
      </c>
      <c r="R92" s="69"/>
      <c r="S92" s="69"/>
      <c r="T92" s="69" t="s">
        <v>119</v>
      </c>
      <c r="U92" s="69"/>
      <c r="V92" s="69"/>
      <c r="W92" s="69"/>
      <c r="X92" s="69"/>
      <c r="Y92" s="69"/>
    </row>
    <row r="93" spans="6:25" ht="34.5" x14ac:dyDescent="0.25">
      <c r="F93" s="66" t="s">
        <v>606</v>
      </c>
      <c r="G93" s="66" t="s">
        <v>150</v>
      </c>
      <c r="H93" s="66"/>
      <c r="I93" s="66" t="s">
        <v>763</v>
      </c>
      <c r="J93" s="66"/>
      <c r="K93" s="66"/>
      <c r="L93" s="66" t="s">
        <v>184</v>
      </c>
      <c r="M93" s="66"/>
      <c r="N93" s="66"/>
      <c r="O93" s="66"/>
      <c r="P93" s="78">
        <v>75000</v>
      </c>
      <c r="Q93" s="79" t="s">
        <v>121</v>
      </c>
      <c r="R93" s="79"/>
      <c r="S93" s="79"/>
      <c r="T93" s="79"/>
      <c r="U93" s="79"/>
      <c r="V93" s="79" t="s">
        <v>119</v>
      </c>
      <c r="W93" s="79"/>
      <c r="X93" s="66"/>
      <c r="Y93" s="79"/>
    </row>
    <row r="94" spans="6:25" ht="34.5" x14ac:dyDescent="0.25">
      <c r="F94" s="66" t="s">
        <v>245</v>
      </c>
      <c r="G94" s="66" t="s">
        <v>114</v>
      </c>
      <c r="H94" s="66"/>
      <c r="I94" s="66" t="s">
        <v>115</v>
      </c>
      <c r="J94" s="66"/>
      <c r="K94" s="66" t="s">
        <v>246</v>
      </c>
      <c r="L94" s="66" t="s">
        <v>161</v>
      </c>
      <c r="M94" s="66" t="s">
        <v>167</v>
      </c>
      <c r="N94" s="66"/>
      <c r="O94" s="66"/>
      <c r="P94" s="78">
        <v>50000</v>
      </c>
      <c r="Q94" s="79" t="s">
        <v>118</v>
      </c>
      <c r="R94" s="79"/>
      <c r="S94" s="79"/>
      <c r="T94" s="79"/>
      <c r="U94" s="79"/>
      <c r="V94" s="79" t="s">
        <v>119</v>
      </c>
      <c r="W94" s="79"/>
      <c r="X94" s="66"/>
      <c r="Y94" s="79"/>
    </row>
    <row r="95" spans="6:25" ht="34.5" x14ac:dyDescent="0.25">
      <c r="F95" s="66" t="s">
        <v>247</v>
      </c>
      <c r="G95" s="66" t="s">
        <v>249</v>
      </c>
      <c r="H95" s="66"/>
      <c r="I95" s="66" t="s">
        <v>115</v>
      </c>
      <c r="J95" s="66"/>
      <c r="K95" s="66" t="s">
        <v>246</v>
      </c>
      <c r="L95" s="66" t="s">
        <v>161</v>
      </c>
      <c r="M95" s="66" t="s">
        <v>142</v>
      </c>
      <c r="N95" s="66"/>
      <c r="O95" s="66"/>
      <c r="P95" s="78">
        <v>450000</v>
      </c>
      <c r="Q95" s="79" t="s">
        <v>124</v>
      </c>
      <c r="R95" s="79"/>
      <c r="S95" s="79"/>
      <c r="T95" s="79"/>
      <c r="U95" s="79" t="s">
        <v>119</v>
      </c>
      <c r="V95" s="79"/>
      <c r="W95" s="79"/>
      <c r="X95" s="66"/>
      <c r="Y95" s="79"/>
    </row>
    <row r="96" spans="6:25" ht="23" x14ac:dyDescent="0.25">
      <c r="F96" s="66" t="s">
        <v>248</v>
      </c>
      <c r="G96" s="66" t="s">
        <v>252</v>
      </c>
      <c r="H96" s="66"/>
      <c r="I96" s="66" t="s">
        <v>115</v>
      </c>
      <c r="J96" s="66"/>
      <c r="K96" s="66" t="s">
        <v>246</v>
      </c>
      <c r="L96" s="66" t="s">
        <v>161</v>
      </c>
      <c r="M96" s="66"/>
      <c r="N96" s="66"/>
      <c r="O96" s="66"/>
      <c r="P96" s="78">
        <v>350000</v>
      </c>
      <c r="Q96" s="79" t="s">
        <v>124</v>
      </c>
      <c r="R96" s="79"/>
      <c r="S96" s="79"/>
      <c r="T96" s="79" t="s">
        <v>119</v>
      </c>
      <c r="U96" s="79"/>
      <c r="V96" s="79"/>
      <c r="W96" s="79"/>
      <c r="X96" s="66"/>
      <c r="Y96" s="79"/>
    </row>
    <row r="97" spans="6:25" ht="57.5" x14ac:dyDescent="0.25">
      <c r="F97" s="66" t="s">
        <v>250</v>
      </c>
      <c r="G97" s="66" t="s">
        <v>254</v>
      </c>
      <c r="H97" s="66"/>
      <c r="I97" s="66" t="s">
        <v>115</v>
      </c>
      <c r="J97" s="66"/>
      <c r="K97" s="66" t="s">
        <v>246</v>
      </c>
      <c r="L97" s="66" t="s">
        <v>161</v>
      </c>
      <c r="M97" s="66" t="s">
        <v>148</v>
      </c>
      <c r="N97" s="66"/>
      <c r="O97" s="66"/>
      <c r="P97" s="78">
        <v>180000</v>
      </c>
      <c r="Q97" s="79" t="s">
        <v>121</v>
      </c>
      <c r="R97" s="79"/>
      <c r="S97" s="79" t="s">
        <v>119</v>
      </c>
      <c r="T97" s="79"/>
      <c r="U97" s="79" t="s">
        <v>119</v>
      </c>
      <c r="V97" s="79"/>
      <c r="W97" s="79"/>
      <c r="X97" s="66"/>
      <c r="Y97" s="79"/>
    </row>
    <row r="98" spans="6:25" ht="34.5" x14ac:dyDescent="0.25">
      <c r="F98" s="66" t="s">
        <v>251</v>
      </c>
      <c r="G98" s="66" t="s">
        <v>256</v>
      </c>
      <c r="H98" s="66"/>
      <c r="I98" s="66" t="s">
        <v>115</v>
      </c>
      <c r="J98" s="66"/>
      <c r="K98" s="66" t="s">
        <v>246</v>
      </c>
      <c r="L98" s="66" t="s">
        <v>161</v>
      </c>
      <c r="M98" s="66" t="s">
        <v>142</v>
      </c>
      <c r="N98" s="66"/>
      <c r="O98" s="66"/>
      <c r="P98" s="78">
        <v>450000</v>
      </c>
      <c r="Q98" s="79" t="s">
        <v>124</v>
      </c>
      <c r="R98" s="79"/>
      <c r="S98" s="79"/>
      <c r="T98" s="79"/>
      <c r="U98" s="79"/>
      <c r="V98" s="79" t="s">
        <v>119</v>
      </c>
      <c r="W98" s="79"/>
      <c r="X98" s="66"/>
      <c r="Y98" s="79"/>
    </row>
    <row r="99" spans="6:25" ht="34.5" x14ac:dyDescent="0.25">
      <c r="F99" s="66" t="s">
        <v>253</v>
      </c>
      <c r="G99" s="66" t="s">
        <v>258</v>
      </c>
      <c r="H99" s="66"/>
      <c r="I99" s="66" t="s">
        <v>225</v>
      </c>
      <c r="J99" s="66"/>
      <c r="K99" s="66" t="s">
        <v>246</v>
      </c>
      <c r="L99" s="66" t="s">
        <v>161</v>
      </c>
      <c r="M99" s="66" t="s">
        <v>142</v>
      </c>
      <c r="N99" s="66"/>
      <c r="O99" s="66"/>
      <c r="P99" s="78">
        <v>450000</v>
      </c>
      <c r="Q99" s="79" t="s">
        <v>124</v>
      </c>
      <c r="R99" s="79"/>
      <c r="S99" s="79"/>
      <c r="T99" s="79"/>
      <c r="U99" s="79"/>
      <c r="V99" s="79" t="s">
        <v>119</v>
      </c>
      <c r="W99" s="79"/>
      <c r="X99" s="66"/>
      <c r="Y99" s="79"/>
    </row>
    <row r="100" spans="6:25" ht="34.5" x14ac:dyDescent="0.25">
      <c r="F100" s="66" t="s">
        <v>255</v>
      </c>
      <c r="G100" s="66" t="s">
        <v>260</v>
      </c>
      <c r="H100" s="66" t="s">
        <v>411</v>
      </c>
      <c r="I100" s="66" t="s">
        <v>780</v>
      </c>
      <c r="J100" s="66"/>
      <c r="K100" s="66" t="s">
        <v>246</v>
      </c>
      <c r="L100" s="66" t="s">
        <v>161</v>
      </c>
      <c r="M100" s="66" t="s">
        <v>148</v>
      </c>
      <c r="N100" s="66"/>
      <c r="O100" s="66"/>
      <c r="P100" s="78">
        <v>470000</v>
      </c>
      <c r="Q100" s="79" t="s">
        <v>124</v>
      </c>
      <c r="R100" s="79"/>
      <c r="S100" s="79"/>
      <c r="T100" s="79" t="s">
        <v>119</v>
      </c>
      <c r="U100" s="79"/>
      <c r="V100" s="79"/>
      <c r="W100" s="79"/>
      <c r="X100" s="66"/>
      <c r="Y100" s="79" t="s">
        <v>119</v>
      </c>
    </row>
    <row r="101" spans="6:25" ht="57.5" x14ac:dyDescent="0.25">
      <c r="F101" s="66" t="s">
        <v>257</v>
      </c>
      <c r="G101" s="66" t="s">
        <v>261</v>
      </c>
      <c r="H101" s="66"/>
      <c r="I101" s="66" t="s">
        <v>115</v>
      </c>
      <c r="J101" s="66" t="s">
        <v>781</v>
      </c>
      <c r="K101" s="66" t="s">
        <v>246</v>
      </c>
      <c r="L101" s="66" t="s">
        <v>161</v>
      </c>
      <c r="M101" s="66" t="s">
        <v>142</v>
      </c>
      <c r="N101" s="66"/>
      <c r="O101" s="66"/>
      <c r="P101" s="78">
        <v>450000</v>
      </c>
      <c r="Q101" s="79" t="s">
        <v>124</v>
      </c>
      <c r="R101" s="79"/>
      <c r="S101" s="79"/>
      <c r="T101" s="79"/>
      <c r="U101" s="79" t="s">
        <v>119</v>
      </c>
      <c r="V101" s="79"/>
      <c r="W101" s="79"/>
      <c r="X101" s="66"/>
      <c r="Y101" s="79"/>
    </row>
    <row r="102" spans="6:25" ht="57.5" x14ac:dyDescent="0.25">
      <c r="F102" s="66" t="s">
        <v>259</v>
      </c>
      <c r="G102" s="66" t="s">
        <v>262</v>
      </c>
      <c r="H102" s="66" t="s">
        <v>756</v>
      </c>
      <c r="I102" s="66" t="s">
        <v>115</v>
      </c>
      <c r="J102" s="66"/>
      <c r="K102" s="66" t="s">
        <v>246</v>
      </c>
      <c r="L102" s="66" t="s">
        <v>161</v>
      </c>
      <c r="M102" s="66" t="s">
        <v>848</v>
      </c>
      <c r="N102" s="66"/>
      <c r="O102" s="66"/>
      <c r="P102" s="78">
        <v>1700000</v>
      </c>
      <c r="Q102" s="79" t="s">
        <v>143</v>
      </c>
      <c r="R102" s="79"/>
      <c r="S102" s="79"/>
      <c r="T102" s="79"/>
      <c r="U102" s="79" t="s">
        <v>119</v>
      </c>
      <c r="V102" s="79"/>
      <c r="W102" s="79"/>
      <c r="X102" s="66"/>
      <c r="Y102" s="79" t="s">
        <v>119</v>
      </c>
    </row>
    <row r="103" spans="6:25" ht="46" x14ac:dyDescent="0.25">
      <c r="F103" s="66" t="s">
        <v>607</v>
      </c>
      <c r="G103" s="69" t="s">
        <v>681</v>
      </c>
      <c r="H103" s="66"/>
      <c r="I103" s="66" t="s">
        <v>287</v>
      </c>
      <c r="J103" s="66"/>
      <c r="K103" s="66" t="s">
        <v>854</v>
      </c>
      <c r="L103" s="66" t="s">
        <v>131</v>
      </c>
      <c r="M103" s="66" t="s">
        <v>855</v>
      </c>
      <c r="N103" s="66"/>
      <c r="O103" s="66"/>
      <c r="P103" s="78">
        <v>1800000</v>
      </c>
      <c r="Q103" s="79" t="s">
        <v>143</v>
      </c>
      <c r="R103" s="79"/>
      <c r="S103" s="79" t="s">
        <v>119</v>
      </c>
      <c r="T103" s="79"/>
      <c r="U103" s="79"/>
      <c r="V103" s="79"/>
      <c r="W103" s="79"/>
      <c r="X103" s="66"/>
      <c r="Y103" s="79"/>
    </row>
    <row r="104" spans="6:25" ht="80.5" x14ac:dyDescent="0.25">
      <c r="F104" s="66" t="s">
        <v>608</v>
      </c>
      <c r="G104" s="69" t="s">
        <v>682</v>
      </c>
      <c r="H104" s="66" t="s">
        <v>782</v>
      </c>
      <c r="I104" s="66" t="s">
        <v>287</v>
      </c>
      <c r="J104" s="66" t="s">
        <v>783</v>
      </c>
      <c r="K104" s="66" t="s">
        <v>854</v>
      </c>
      <c r="L104" s="66" t="s">
        <v>131</v>
      </c>
      <c r="M104" s="66" t="s">
        <v>855</v>
      </c>
      <c r="N104" s="66"/>
      <c r="O104" s="66"/>
      <c r="P104" s="78">
        <v>250000</v>
      </c>
      <c r="Q104" s="79" t="s">
        <v>124</v>
      </c>
      <c r="R104" s="79"/>
      <c r="S104" s="79" t="s">
        <v>119</v>
      </c>
      <c r="T104" s="79"/>
      <c r="U104" s="79"/>
      <c r="V104" s="79"/>
      <c r="W104" s="79"/>
      <c r="X104" s="66"/>
      <c r="Y104" s="79"/>
    </row>
    <row r="105" spans="6:25" ht="57.5" x14ac:dyDescent="0.25">
      <c r="F105" s="66" t="s">
        <v>609</v>
      </c>
      <c r="G105" s="69" t="s">
        <v>683</v>
      </c>
      <c r="H105" s="66"/>
      <c r="I105" s="66" t="s">
        <v>784</v>
      </c>
      <c r="J105" s="66" t="s">
        <v>785</v>
      </c>
      <c r="K105" s="66" t="s">
        <v>854</v>
      </c>
      <c r="L105" s="66" t="s">
        <v>131</v>
      </c>
      <c r="M105" s="66"/>
      <c r="N105" s="66"/>
      <c r="O105" s="66"/>
      <c r="P105" s="78">
        <v>180000</v>
      </c>
      <c r="Q105" s="79" t="s">
        <v>121</v>
      </c>
      <c r="R105" s="79"/>
      <c r="S105" s="79" t="s">
        <v>119</v>
      </c>
      <c r="T105" s="79"/>
      <c r="U105" s="79"/>
      <c r="V105" s="79"/>
      <c r="W105" s="79"/>
      <c r="X105" s="66"/>
      <c r="Y105" s="79" t="s">
        <v>119</v>
      </c>
    </row>
    <row r="106" spans="6:25" ht="207" x14ac:dyDescent="0.25">
      <c r="F106" s="66" t="s">
        <v>610</v>
      </c>
      <c r="G106" s="69" t="s">
        <v>684</v>
      </c>
      <c r="H106" s="66" t="s">
        <v>786</v>
      </c>
      <c r="I106" s="66" t="s">
        <v>287</v>
      </c>
      <c r="J106" s="66" t="s">
        <v>787</v>
      </c>
      <c r="K106" s="66" t="s">
        <v>854</v>
      </c>
      <c r="L106" s="66" t="s">
        <v>131</v>
      </c>
      <c r="M106" s="66" t="s">
        <v>855</v>
      </c>
      <c r="N106" s="66"/>
      <c r="O106" s="66"/>
      <c r="P106" s="78">
        <v>850000</v>
      </c>
      <c r="Q106" s="79" t="s">
        <v>124</v>
      </c>
      <c r="R106" s="79"/>
      <c r="S106" s="79" t="s">
        <v>119</v>
      </c>
      <c r="T106" s="79"/>
      <c r="U106" s="79"/>
      <c r="V106" s="79"/>
      <c r="W106" s="79"/>
      <c r="X106" s="66"/>
      <c r="Y106" s="79" t="s">
        <v>119</v>
      </c>
    </row>
    <row r="107" spans="6:25" ht="207" x14ac:dyDescent="0.25">
      <c r="F107" s="66" t="s">
        <v>611</v>
      </c>
      <c r="G107" s="69" t="s">
        <v>685</v>
      </c>
      <c r="H107" s="66" t="s">
        <v>786</v>
      </c>
      <c r="I107" s="66" t="s">
        <v>788</v>
      </c>
      <c r="J107" s="66" t="s">
        <v>787</v>
      </c>
      <c r="K107" s="66" t="s">
        <v>854</v>
      </c>
      <c r="L107" s="66" t="s">
        <v>131</v>
      </c>
      <c r="M107" s="66" t="s">
        <v>855</v>
      </c>
      <c r="N107" s="66"/>
      <c r="O107" s="66"/>
      <c r="P107" s="78">
        <v>1300000</v>
      </c>
      <c r="Q107" s="79" t="s">
        <v>143</v>
      </c>
      <c r="R107" s="79"/>
      <c r="S107" s="79" t="s">
        <v>119</v>
      </c>
      <c r="T107" s="79"/>
      <c r="U107" s="79"/>
      <c r="V107" s="79"/>
      <c r="W107" s="79"/>
      <c r="X107" s="66"/>
      <c r="Y107" s="79" t="s">
        <v>119</v>
      </c>
    </row>
    <row r="108" spans="6:25" ht="46" x14ac:dyDescent="0.25">
      <c r="F108" s="66" t="s">
        <v>612</v>
      </c>
      <c r="G108" s="69" t="s">
        <v>686</v>
      </c>
      <c r="H108" s="66"/>
      <c r="I108" s="66" t="s">
        <v>788</v>
      </c>
      <c r="J108" s="66"/>
      <c r="K108" s="66" t="s">
        <v>854</v>
      </c>
      <c r="L108" s="66" t="s">
        <v>131</v>
      </c>
      <c r="M108" s="66" t="s">
        <v>855</v>
      </c>
      <c r="N108" s="66"/>
      <c r="O108" s="66"/>
      <c r="P108" s="78">
        <v>1300000</v>
      </c>
      <c r="Q108" s="79" t="s">
        <v>143</v>
      </c>
      <c r="R108" s="79"/>
      <c r="S108" s="79" t="s">
        <v>119</v>
      </c>
      <c r="T108" s="79"/>
      <c r="U108" s="79"/>
      <c r="V108" s="79"/>
      <c r="W108" s="79"/>
      <c r="X108" s="66"/>
      <c r="Y108" s="79"/>
    </row>
    <row r="109" spans="6:25" ht="34.5" x14ac:dyDescent="0.25">
      <c r="F109" s="66" t="s">
        <v>613</v>
      </c>
      <c r="G109" s="70" t="s">
        <v>687</v>
      </c>
      <c r="H109" s="66" t="s">
        <v>135</v>
      </c>
      <c r="I109" s="66" t="s">
        <v>117</v>
      </c>
      <c r="J109" s="66" t="s">
        <v>753</v>
      </c>
      <c r="K109" s="66" t="s">
        <v>856</v>
      </c>
      <c r="L109" s="66" t="s">
        <v>117</v>
      </c>
      <c r="M109" s="66" t="s">
        <v>857</v>
      </c>
      <c r="N109" s="66"/>
      <c r="O109" s="66"/>
      <c r="P109" s="78">
        <v>580000</v>
      </c>
      <c r="Q109" s="79" t="s">
        <v>124</v>
      </c>
      <c r="R109" s="79"/>
      <c r="S109" s="79" t="s">
        <v>119</v>
      </c>
      <c r="T109" s="79"/>
      <c r="U109" s="79"/>
      <c r="V109" s="79"/>
      <c r="W109" s="79"/>
      <c r="X109" s="66"/>
      <c r="Y109" s="79" t="s">
        <v>119</v>
      </c>
    </row>
    <row r="110" spans="6:25" ht="218.5" x14ac:dyDescent="0.25">
      <c r="F110" s="66" t="s">
        <v>614</v>
      </c>
      <c r="G110" s="69" t="s">
        <v>688</v>
      </c>
      <c r="H110" s="66" t="s">
        <v>789</v>
      </c>
      <c r="I110" s="66" t="s">
        <v>117</v>
      </c>
      <c r="J110" s="66" t="s">
        <v>790</v>
      </c>
      <c r="K110" s="66" t="s">
        <v>856</v>
      </c>
      <c r="L110" s="66" t="s">
        <v>117</v>
      </c>
      <c r="M110" s="66" t="s">
        <v>858</v>
      </c>
      <c r="N110" s="66"/>
      <c r="O110" s="66"/>
      <c r="P110" s="78">
        <v>22000000</v>
      </c>
      <c r="Q110" s="79" t="s">
        <v>143</v>
      </c>
      <c r="R110" s="79"/>
      <c r="S110" s="79" t="s">
        <v>119</v>
      </c>
      <c r="T110" s="79"/>
      <c r="U110" s="79"/>
      <c r="V110" s="79"/>
      <c r="W110" s="79"/>
      <c r="X110" s="66"/>
      <c r="Y110" s="79"/>
    </row>
    <row r="111" spans="6:25" ht="138" x14ac:dyDescent="0.25">
      <c r="F111" s="66" t="s">
        <v>615</v>
      </c>
      <c r="G111" s="69" t="s">
        <v>689</v>
      </c>
      <c r="H111" s="66"/>
      <c r="I111" s="66" t="s">
        <v>117</v>
      </c>
      <c r="J111" s="66" t="s">
        <v>791</v>
      </c>
      <c r="K111" s="66" t="s">
        <v>856</v>
      </c>
      <c r="L111" s="66" t="s">
        <v>117</v>
      </c>
      <c r="M111" s="66" t="s">
        <v>137</v>
      </c>
      <c r="N111" s="66"/>
      <c r="O111" s="66"/>
      <c r="P111" s="78">
        <v>4200000</v>
      </c>
      <c r="Q111" s="79" t="s">
        <v>143</v>
      </c>
      <c r="R111" s="79"/>
      <c r="S111" s="79" t="s">
        <v>119</v>
      </c>
      <c r="T111" s="79"/>
      <c r="U111" s="79"/>
      <c r="V111" s="79"/>
      <c r="W111" s="79"/>
      <c r="X111" s="66"/>
      <c r="Y111" s="79"/>
    </row>
    <row r="112" spans="6:25" ht="46" x14ac:dyDescent="0.25">
      <c r="F112" s="66" t="s">
        <v>263</v>
      </c>
      <c r="G112" s="66" t="s">
        <v>264</v>
      </c>
      <c r="H112" s="66"/>
      <c r="I112" s="66" t="s">
        <v>265</v>
      </c>
      <c r="J112" s="66"/>
      <c r="K112" s="66" t="s">
        <v>266</v>
      </c>
      <c r="L112" s="66" t="s">
        <v>184</v>
      </c>
      <c r="M112" s="66" t="s">
        <v>137</v>
      </c>
      <c r="N112" s="66" t="s">
        <v>137</v>
      </c>
      <c r="O112" s="66" t="s">
        <v>921</v>
      </c>
      <c r="P112" s="78">
        <v>7500000</v>
      </c>
      <c r="Q112" s="79" t="s">
        <v>143</v>
      </c>
      <c r="R112" s="79"/>
      <c r="S112" s="79" t="s">
        <v>119</v>
      </c>
      <c r="T112" s="79"/>
      <c r="U112" s="79"/>
      <c r="V112" s="79"/>
      <c r="W112" s="79"/>
      <c r="X112" s="66"/>
      <c r="Y112" s="79"/>
    </row>
    <row r="113" spans="6:25" ht="69" x14ac:dyDescent="0.25">
      <c r="F113" s="66" t="s">
        <v>267</v>
      </c>
      <c r="G113" s="66" t="s">
        <v>690</v>
      </c>
      <c r="H113" s="66" t="s">
        <v>268</v>
      </c>
      <c r="I113" s="66" t="s">
        <v>269</v>
      </c>
      <c r="J113" s="66" t="s">
        <v>792</v>
      </c>
      <c r="K113" s="66" t="s">
        <v>270</v>
      </c>
      <c r="L113" s="66" t="s">
        <v>184</v>
      </c>
      <c r="M113" s="66" t="s">
        <v>285</v>
      </c>
      <c r="N113" s="66"/>
      <c r="O113" s="66"/>
      <c r="P113" s="78">
        <v>1800000</v>
      </c>
      <c r="Q113" s="79" t="s">
        <v>143</v>
      </c>
      <c r="R113" s="79"/>
      <c r="S113" s="80" t="s">
        <v>119</v>
      </c>
      <c r="T113" s="79"/>
      <c r="U113" s="79"/>
      <c r="V113" s="79"/>
      <c r="W113" s="79"/>
      <c r="X113" s="66"/>
      <c r="Y113" s="79"/>
    </row>
    <row r="114" spans="6:25" ht="92" x14ac:dyDescent="0.25">
      <c r="F114" s="66" t="s">
        <v>271</v>
      </c>
      <c r="G114" s="66" t="s">
        <v>691</v>
      </c>
      <c r="H114" s="66" t="s">
        <v>268</v>
      </c>
      <c r="I114" s="66" t="s">
        <v>269</v>
      </c>
      <c r="J114" s="66" t="s">
        <v>792</v>
      </c>
      <c r="K114" s="66" t="s">
        <v>270</v>
      </c>
      <c r="L114" s="66" t="s">
        <v>184</v>
      </c>
      <c r="M114" s="66" t="s">
        <v>275</v>
      </c>
      <c r="N114" s="66"/>
      <c r="O114" s="66"/>
      <c r="P114" s="78">
        <v>3600000</v>
      </c>
      <c r="Q114" s="79" t="s">
        <v>143</v>
      </c>
      <c r="R114" s="79"/>
      <c r="S114" s="80" t="s">
        <v>119</v>
      </c>
      <c r="T114" s="79"/>
      <c r="U114" s="79"/>
      <c r="V114" s="79"/>
      <c r="W114" s="79"/>
      <c r="X114" s="66"/>
      <c r="Y114" s="79"/>
    </row>
    <row r="115" spans="6:25" ht="103.5" x14ac:dyDescent="0.25">
      <c r="F115" s="66" t="s">
        <v>272</v>
      </c>
      <c r="G115" s="66" t="s">
        <v>273</v>
      </c>
      <c r="H115" s="66" t="s">
        <v>268</v>
      </c>
      <c r="I115" s="66" t="s">
        <v>274</v>
      </c>
      <c r="J115" s="66" t="s">
        <v>792</v>
      </c>
      <c r="K115" s="66" t="s">
        <v>270</v>
      </c>
      <c r="L115" s="66" t="s">
        <v>184</v>
      </c>
      <c r="M115" s="66" t="s">
        <v>275</v>
      </c>
      <c r="N115" s="66"/>
      <c r="O115" s="66"/>
      <c r="P115" s="78">
        <v>3250000</v>
      </c>
      <c r="Q115" s="79" t="s">
        <v>143</v>
      </c>
      <c r="R115" s="79"/>
      <c r="S115" s="80" t="s">
        <v>119</v>
      </c>
      <c r="T115" s="79"/>
      <c r="U115" s="79"/>
      <c r="V115" s="79"/>
      <c r="W115" s="79"/>
      <c r="X115" s="66"/>
      <c r="Y115" s="79"/>
    </row>
    <row r="116" spans="6:25" ht="57.5" x14ac:dyDescent="0.25">
      <c r="F116" s="66" t="s">
        <v>276</v>
      </c>
      <c r="G116" s="66" t="s">
        <v>277</v>
      </c>
      <c r="H116" s="66"/>
      <c r="I116" s="72" t="s">
        <v>793</v>
      </c>
      <c r="J116" s="66" t="s">
        <v>792</v>
      </c>
      <c r="K116" s="66" t="s">
        <v>270</v>
      </c>
      <c r="L116" s="66" t="s">
        <v>184</v>
      </c>
      <c r="M116" s="66" t="s">
        <v>148</v>
      </c>
      <c r="N116" s="66"/>
      <c r="O116" s="66"/>
      <c r="P116" s="78">
        <v>165000</v>
      </c>
      <c r="Q116" s="79" t="s">
        <v>121</v>
      </c>
      <c r="R116" s="79"/>
      <c r="S116" s="79" t="s">
        <v>119</v>
      </c>
      <c r="T116" s="79"/>
      <c r="U116" s="79"/>
      <c r="V116" s="79"/>
      <c r="W116" s="79"/>
      <c r="X116" s="66"/>
      <c r="Y116" s="79"/>
    </row>
    <row r="117" spans="6:25" ht="115" x14ac:dyDescent="0.25">
      <c r="F117" s="66" t="s">
        <v>278</v>
      </c>
      <c r="G117" s="66" t="s">
        <v>114</v>
      </c>
      <c r="H117" s="66"/>
      <c r="I117" s="66" t="s">
        <v>115</v>
      </c>
      <c r="J117" s="66" t="s">
        <v>794</v>
      </c>
      <c r="K117" s="66" t="s">
        <v>270</v>
      </c>
      <c r="L117" s="66" t="s">
        <v>279</v>
      </c>
      <c r="M117" s="66" t="s">
        <v>275</v>
      </c>
      <c r="N117" s="66"/>
      <c r="O117" s="66"/>
      <c r="P117" s="78">
        <v>75000</v>
      </c>
      <c r="Q117" s="79" t="s">
        <v>121</v>
      </c>
      <c r="R117" s="79"/>
      <c r="S117" s="79"/>
      <c r="T117" s="79"/>
      <c r="U117" s="79"/>
      <c r="V117" s="79" t="s">
        <v>119</v>
      </c>
      <c r="W117" s="79"/>
      <c r="X117" s="66"/>
      <c r="Y117" s="79"/>
    </row>
    <row r="118" spans="6:25" ht="46" x14ac:dyDescent="0.25">
      <c r="F118" s="66" t="s">
        <v>280</v>
      </c>
      <c r="G118" s="66" t="s">
        <v>281</v>
      </c>
      <c r="H118" s="66"/>
      <c r="I118" s="66" t="s">
        <v>115</v>
      </c>
      <c r="J118" s="66" t="s">
        <v>792</v>
      </c>
      <c r="K118" s="66" t="s">
        <v>270</v>
      </c>
      <c r="L118" s="66" t="s">
        <v>184</v>
      </c>
      <c r="M118" s="66" t="s">
        <v>148</v>
      </c>
      <c r="N118" s="66"/>
      <c r="O118" s="66"/>
      <c r="P118" s="78">
        <v>475000</v>
      </c>
      <c r="Q118" s="79" t="s">
        <v>124</v>
      </c>
      <c r="R118" s="79"/>
      <c r="S118" s="79"/>
      <c r="T118" s="79" t="s">
        <v>119</v>
      </c>
      <c r="U118" s="79"/>
      <c r="V118" s="79"/>
      <c r="W118" s="79"/>
      <c r="X118" s="66"/>
      <c r="Y118" s="79"/>
    </row>
    <row r="119" spans="6:25" ht="218.5" x14ac:dyDescent="0.25">
      <c r="F119" s="66" t="s">
        <v>282</v>
      </c>
      <c r="G119" s="66" t="s">
        <v>692</v>
      </c>
      <c r="H119" s="66" t="s">
        <v>127</v>
      </c>
      <c r="I119" s="66" t="s">
        <v>283</v>
      </c>
      <c r="J119" s="66" t="s">
        <v>795</v>
      </c>
      <c r="K119" s="66" t="s">
        <v>284</v>
      </c>
      <c r="L119" s="66" t="s">
        <v>243</v>
      </c>
      <c r="M119" s="66" t="s">
        <v>285</v>
      </c>
      <c r="N119" s="66" t="s">
        <v>922</v>
      </c>
      <c r="O119" s="66" t="s">
        <v>923</v>
      </c>
      <c r="P119" s="78">
        <v>360000</v>
      </c>
      <c r="Q119" s="79" t="s">
        <v>124</v>
      </c>
      <c r="R119" s="79"/>
      <c r="S119" s="80" t="s">
        <v>119</v>
      </c>
      <c r="T119" s="79"/>
      <c r="U119" s="79"/>
      <c r="V119" s="79"/>
      <c r="W119" s="79"/>
      <c r="X119" s="66"/>
      <c r="Y119" s="79" t="s">
        <v>119</v>
      </c>
    </row>
    <row r="120" spans="6:25" ht="218.5" x14ac:dyDescent="0.25">
      <c r="F120" s="66" t="s">
        <v>286</v>
      </c>
      <c r="G120" s="66" t="s">
        <v>693</v>
      </c>
      <c r="H120" s="66" t="s">
        <v>127</v>
      </c>
      <c r="I120" s="66" t="s">
        <v>283</v>
      </c>
      <c r="J120" s="66" t="s">
        <v>795</v>
      </c>
      <c r="K120" s="66" t="s">
        <v>284</v>
      </c>
      <c r="L120" s="66" t="s">
        <v>243</v>
      </c>
      <c r="M120" s="66" t="s">
        <v>285</v>
      </c>
      <c r="N120" s="66" t="s">
        <v>922</v>
      </c>
      <c r="O120" s="66" t="s">
        <v>923</v>
      </c>
      <c r="P120" s="78">
        <v>2500000</v>
      </c>
      <c r="Q120" s="79" t="s">
        <v>143</v>
      </c>
      <c r="R120" s="79"/>
      <c r="S120" s="80" t="s">
        <v>119</v>
      </c>
      <c r="T120" s="79"/>
      <c r="U120" s="79"/>
      <c r="V120" s="79"/>
      <c r="W120" s="79"/>
      <c r="X120" s="66"/>
      <c r="Y120" s="79"/>
    </row>
    <row r="121" spans="6:25" ht="218.5" x14ac:dyDescent="0.25">
      <c r="F121" s="66" t="s">
        <v>288</v>
      </c>
      <c r="G121" s="66" t="s">
        <v>694</v>
      </c>
      <c r="H121" s="66" t="s">
        <v>127</v>
      </c>
      <c r="I121" s="66" t="s">
        <v>283</v>
      </c>
      <c r="J121" s="66" t="s">
        <v>795</v>
      </c>
      <c r="K121" s="66" t="s">
        <v>284</v>
      </c>
      <c r="L121" s="66" t="s">
        <v>243</v>
      </c>
      <c r="M121" s="66" t="s">
        <v>285</v>
      </c>
      <c r="N121" s="66" t="s">
        <v>922</v>
      </c>
      <c r="O121" s="66" t="s">
        <v>923</v>
      </c>
      <c r="P121" s="78">
        <v>1500000</v>
      </c>
      <c r="Q121" s="79" t="s">
        <v>143</v>
      </c>
      <c r="R121" s="79"/>
      <c r="S121" s="80" t="s">
        <v>119</v>
      </c>
      <c r="T121" s="79"/>
      <c r="U121" s="79"/>
      <c r="V121" s="79"/>
      <c r="W121" s="79"/>
      <c r="X121" s="66"/>
      <c r="Y121" s="79"/>
    </row>
    <row r="122" spans="6:25" ht="218.5" x14ac:dyDescent="0.25">
      <c r="F122" s="66" t="s">
        <v>290</v>
      </c>
      <c r="G122" s="66" t="s">
        <v>695</v>
      </c>
      <c r="H122" s="66" t="s">
        <v>127</v>
      </c>
      <c r="I122" s="66" t="s">
        <v>283</v>
      </c>
      <c r="J122" s="66" t="s">
        <v>795</v>
      </c>
      <c r="K122" s="66" t="s">
        <v>284</v>
      </c>
      <c r="L122" s="66" t="s">
        <v>243</v>
      </c>
      <c r="M122" s="66" t="s">
        <v>285</v>
      </c>
      <c r="N122" s="66" t="s">
        <v>922</v>
      </c>
      <c r="O122" s="66" t="s">
        <v>923</v>
      </c>
      <c r="P122" s="78">
        <v>3700000</v>
      </c>
      <c r="Q122" s="79" t="s">
        <v>143</v>
      </c>
      <c r="R122" s="79"/>
      <c r="S122" s="80" t="s">
        <v>119</v>
      </c>
      <c r="T122" s="79"/>
      <c r="U122" s="79"/>
      <c r="V122" s="79"/>
      <c r="W122" s="79"/>
      <c r="X122" s="66"/>
      <c r="Y122" s="79"/>
    </row>
    <row r="123" spans="6:25" ht="138" x14ac:dyDescent="0.25">
      <c r="F123" s="66" t="s">
        <v>292</v>
      </c>
      <c r="G123" s="66" t="s">
        <v>696</v>
      </c>
      <c r="H123" s="66" t="s">
        <v>127</v>
      </c>
      <c r="I123" s="66" t="s">
        <v>283</v>
      </c>
      <c r="J123" s="66" t="s">
        <v>796</v>
      </c>
      <c r="K123" s="66" t="s">
        <v>284</v>
      </c>
      <c r="L123" s="66" t="s">
        <v>243</v>
      </c>
      <c r="M123" s="66" t="s">
        <v>285</v>
      </c>
      <c r="N123" s="66" t="s">
        <v>922</v>
      </c>
      <c r="O123" s="66" t="s">
        <v>923</v>
      </c>
      <c r="P123" s="78">
        <v>1900000</v>
      </c>
      <c r="Q123" s="79" t="s">
        <v>143</v>
      </c>
      <c r="R123" s="79"/>
      <c r="S123" s="80" t="s">
        <v>119</v>
      </c>
      <c r="T123" s="79"/>
      <c r="U123" s="79"/>
      <c r="V123" s="79"/>
      <c r="W123" s="79"/>
      <c r="X123" s="66"/>
      <c r="Y123" s="79"/>
    </row>
    <row r="124" spans="6:25" ht="138" x14ac:dyDescent="0.25">
      <c r="F124" s="66" t="s">
        <v>296</v>
      </c>
      <c r="G124" s="66" t="s">
        <v>697</v>
      </c>
      <c r="H124" s="66" t="s">
        <v>127</v>
      </c>
      <c r="I124" s="66" t="s">
        <v>283</v>
      </c>
      <c r="J124" s="66" t="s">
        <v>796</v>
      </c>
      <c r="K124" s="66" t="s">
        <v>284</v>
      </c>
      <c r="L124" s="66" t="s">
        <v>243</v>
      </c>
      <c r="M124" s="66" t="s">
        <v>285</v>
      </c>
      <c r="N124" s="66" t="s">
        <v>922</v>
      </c>
      <c r="O124" s="66" t="s">
        <v>923</v>
      </c>
      <c r="P124" s="78">
        <v>3700000</v>
      </c>
      <c r="Q124" s="79" t="s">
        <v>143</v>
      </c>
      <c r="R124" s="79"/>
      <c r="S124" s="80" t="s">
        <v>119</v>
      </c>
      <c r="T124" s="79"/>
      <c r="U124" s="79"/>
      <c r="V124" s="79"/>
      <c r="W124" s="79"/>
      <c r="X124" s="66"/>
      <c r="Y124" s="79"/>
    </row>
    <row r="125" spans="6:25" ht="138" x14ac:dyDescent="0.25">
      <c r="F125" s="66" t="s">
        <v>297</v>
      </c>
      <c r="G125" s="66" t="s">
        <v>698</v>
      </c>
      <c r="H125" s="66" t="s">
        <v>754</v>
      </c>
      <c r="I125" s="66" t="s">
        <v>797</v>
      </c>
      <c r="J125" s="66" t="s">
        <v>796</v>
      </c>
      <c r="K125" s="66" t="s">
        <v>284</v>
      </c>
      <c r="L125" s="66" t="s">
        <v>243</v>
      </c>
      <c r="M125" s="66" t="s">
        <v>859</v>
      </c>
      <c r="N125" s="66" t="s">
        <v>922</v>
      </c>
      <c r="O125" s="66" t="s">
        <v>923</v>
      </c>
      <c r="P125" s="78">
        <v>955000</v>
      </c>
      <c r="Q125" s="79" t="s">
        <v>143</v>
      </c>
      <c r="R125" s="79"/>
      <c r="S125" s="80" t="s">
        <v>119</v>
      </c>
      <c r="T125" s="79"/>
      <c r="U125" s="79"/>
      <c r="V125" s="79"/>
      <c r="W125" s="79"/>
      <c r="X125" s="66" t="s">
        <v>119</v>
      </c>
      <c r="Y125" s="79" t="s">
        <v>119</v>
      </c>
    </row>
    <row r="126" spans="6:25" ht="103.5" x14ac:dyDescent="0.25">
      <c r="F126" s="66" t="s">
        <v>299</v>
      </c>
      <c r="G126" s="66" t="s">
        <v>699</v>
      </c>
      <c r="H126" s="66"/>
      <c r="I126" s="66" t="s">
        <v>289</v>
      </c>
      <c r="J126" s="66" t="s">
        <v>798</v>
      </c>
      <c r="K126" s="66" t="s">
        <v>284</v>
      </c>
      <c r="L126" s="66" t="s">
        <v>117</v>
      </c>
      <c r="M126" s="66" t="s">
        <v>148</v>
      </c>
      <c r="N126" s="66"/>
      <c r="O126" s="66"/>
      <c r="P126" s="78">
        <v>415000</v>
      </c>
      <c r="Q126" s="79" t="s">
        <v>124</v>
      </c>
      <c r="R126" s="79"/>
      <c r="S126" s="79" t="s">
        <v>119</v>
      </c>
      <c r="T126" s="79"/>
      <c r="U126" s="79"/>
      <c r="V126" s="79"/>
      <c r="W126" s="79"/>
      <c r="X126" s="66"/>
      <c r="Y126" s="79"/>
    </row>
    <row r="127" spans="6:25" ht="46" x14ac:dyDescent="0.25">
      <c r="F127" s="66" t="s">
        <v>301</v>
      </c>
      <c r="G127" s="66" t="s">
        <v>700</v>
      </c>
      <c r="H127" s="66"/>
      <c r="I127" s="66" t="s">
        <v>115</v>
      </c>
      <c r="J127" s="66"/>
      <c r="K127" s="66" t="s">
        <v>284</v>
      </c>
      <c r="L127" s="66" t="s">
        <v>291</v>
      </c>
      <c r="M127" s="66" t="s">
        <v>275</v>
      </c>
      <c r="N127" s="66"/>
      <c r="O127" s="66"/>
      <c r="P127" s="78">
        <v>50000</v>
      </c>
      <c r="Q127" s="79" t="s">
        <v>118</v>
      </c>
      <c r="R127" s="79"/>
      <c r="S127" s="79"/>
      <c r="T127" s="79"/>
      <c r="U127" s="79"/>
      <c r="V127" s="79" t="s">
        <v>119</v>
      </c>
      <c r="W127" s="79"/>
      <c r="X127" s="66"/>
      <c r="Y127" s="79"/>
    </row>
    <row r="128" spans="6:25" ht="46" x14ac:dyDescent="0.25">
      <c r="F128" s="66" t="s">
        <v>303</v>
      </c>
      <c r="G128" s="66" t="s">
        <v>293</v>
      </c>
      <c r="H128" s="66"/>
      <c r="I128" s="66" t="s">
        <v>115</v>
      </c>
      <c r="J128" s="66"/>
      <c r="K128" s="66" t="s">
        <v>284</v>
      </c>
      <c r="L128" s="66" t="s">
        <v>294</v>
      </c>
      <c r="M128" s="66" t="s">
        <v>295</v>
      </c>
      <c r="N128" s="66"/>
      <c r="O128" s="66"/>
      <c r="P128" s="78">
        <v>200000</v>
      </c>
      <c r="Q128" s="79" t="s">
        <v>121</v>
      </c>
      <c r="R128" s="79"/>
      <c r="S128" s="79"/>
      <c r="T128" s="79" t="s">
        <v>119</v>
      </c>
      <c r="U128" s="79"/>
      <c r="V128" s="79"/>
      <c r="W128" s="79"/>
      <c r="X128" s="66"/>
      <c r="Y128" s="79"/>
    </row>
    <row r="129" spans="6:25" ht="69" x14ac:dyDescent="0.25">
      <c r="F129" s="66" t="s">
        <v>304</v>
      </c>
      <c r="G129" s="66" t="s">
        <v>701</v>
      </c>
      <c r="H129" s="66"/>
      <c r="I129" s="66" t="s">
        <v>115</v>
      </c>
      <c r="J129" s="66" t="s">
        <v>799</v>
      </c>
      <c r="K129" s="66" t="s">
        <v>284</v>
      </c>
      <c r="L129" s="66" t="s">
        <v>294</v>
      </c>
      <c r="M129" s="66" t="s">
        <v>298</v>
      </c>
      <c r="N129" s="66"/>
      <c r="O129" s="66"/>
      <c r="P129" s="78">
        <v>1700000</v>
      </c>
      <c r="Q129" s="79" t="s">
        <v>143</v>
      </c>
      <c r="R129" s="79"/>
      <c r="S129" s="79"/>
      <c r="T129" s="79"/>
      <c r="U129" s="79" t="s">
        <v>119</v>
      </c>
      <c r="V129" s="79"/>
      <c r="W129" s="79"/>
      <c r="X129" s="66"/>
      <c r="Y129" s="79"/>
    </row>
    <row r="130" spans="6:25" ht="34.5" x14ac:dyDescent="0.25">
      <c r="F130" s="66" t="s">
        <v>306</v>
      </c>
      <c r="G130" s="66" t="s">
        <v>702</v>
      </c>
      <c r="H130" s="66"/>
      <c r="I130" s="66" t="s">
        <v>225</v>
      </c>
      <c r="J130" s="66"/>
      <c r="K130" s="66" t="s">
        <v>284</v>
      </c>
      <c r="L130" s="66" t="s">
        <v>300</v>
      </c>
      <c r="M130" s="66" t="s">
        <v>298</v>
      </c>
      <c r="N130" s="66"/>
      <c r="O130" s="66"/>
      <c r="P130" s="78">
        <v>540000</v>
      </c>
      <c r="Q130" s="79" t="s">
        <v>124</v>
      </c>
      <c r="R130" s="79"/>
      <c r="S130" s="79"/>
      <c r="T130" s="79" t="s">
        <v>119</v>
      </c>
      <c r="U130" s="79"/>
      <c r="V130" s="79"/>
      <c r="W130" s="79"/>
      <c r="X130" s="66"/>
      <c r="Y130" s="79"/>
    </row>
    <row r="131" spans="6:25" ht="80.5" x14ac:dyDescent="0.25">
      <c r="F131" s="66" t="s">
        <v>307</v>
      </c>
      <c r="G131" s="66" t="s">
        <v>703</v>
      </c>
      <c r="H131" s="66"/>
      <c r="I131" s="66" t="s">
        <v>302</v>
      </c>
      <c r="J131" s="66" t="s">
        <v>800</v>
      </c>
      <c r="K131" s="66" t="s">
        <v>284</v>
      </c>
      <c r="L131" s="66" t="s">
        <v>166</v>
      </c>
      <c r="M131" s="66" t="s">
        <v>148</v>
      </c>
      <c r="N131" s="66"/>
      <c r="O131" s="66"/>
      <c r="P131" s="78">
        <v>200000</v>
      </c>
      <c r="Q131" s="79" t="s">
        <v>121</v>
      </c>
      <c r="R131" s="79"/>
      <c r="S131" s="79"/>
      <c r="T131" s="79" t="s">
        <v>119</v>
      </c>
      <c r="U131" s="79"/>
      <c r="V131" s="79"/>
      <c r="W131" s="79"/>
      <c r="X131" s="66"/>
      <c r="Y131" s="79"/>
    </row>
    <row r="132" spans="6:25" ht="34.5" x14ac:dyDescent="0.25">
      <c r="F132" s="66" t="s">
        <v>308</v>
      </c>
      <c r="G132" s="66" t="s">
        <v>704</v>
      </c>
      <c r="H132" s="66"/>
      <c r="I132" s="66" t="s">
        <v>225</v>
      </c>
      <c r="J132" s="66"/>
      <c r="K132" s="66" t="s">
        <v>284</v>
      </c>
      <c r="L132" s="66" t="s">
        <v>218</v>
      </c>
      <c r="M132" s="66" t="s">
        <v>142</v>
      </c>
      <c r="N132" s="66"/>
      <c r="O132" s="66"/>
      <c r="P132" s="78">
        <v>1700000</v>
      </c>
      <c r="Q132" s="79" t="s">
        <v>143</v>
      </c>
      <c r="R132" s="79"/>
      <c r="S132" s="79"/>
      <c r="T132" s="79"/>
      <c r="U132" s="79" t="s">
        <v>119</v>
      </c>
      <c r="V132" s="79"/>
      <c r="W132" s="79"/>
      <c r="X132" s="66"/>
      <c r="Y132" s="79"/>
    </row>
    <row r="133" spans="6:25" ht="57.5" x14ac:dyDescent="0.25">
      <c r="F133" s="66" t="s">
        <v>309</v>
      </c>
      <c r="G133" s="66" t="s">
        <v>705</v>
      </c>
      <c r="H133" s="66" t="s">
        <v>745</v>
      </c>
      <c r="I133" s="66" t="s">
        <v>305</v>
      </c>
      <c r="J133" s="66"/>
      <c r="K133" s="66" t="s">
        <v>284</v>
      </c>
      <c r="L133" s="66" t="s">
        <v>860</v>
      </c>
      <c r="M133" s="66" t="s">
        <v>148</v>
      </c>
      <c r="N133" s="66"/>
      <c r="O133" s="66"/>
      <c r="P133" s="78">
        <v>1700000</v>
      </c>
      <c r="Q133" s="79" t="s">
        <v>143</v>
      </c>
      <c r="R133" s="79"/>
      <c r="S133" s="79"/>
      <c r="T133" s="79"/>
      <c r="U133" s="79" t="s">
        <v>119</v>
      </c>
      <c r="V133" s="79"/>
      <c r="W133" s="79"/>
      <c r="X133" s="66"/>
      <c r="Y133" s="79"/>
    </row>
    <row r="134" spans="6:25" ht="57.5" x14ac:dyDescent="0.25">
      <c r="F134" s="66" t="s">
        <v>311</v>
      </c>
      <c r="G134" s="66" t="s">
        <v>706</v>
      </c>
      <c r="H134" s="66" t="s">
        <v>745</v>
      </c>
      <c r="I134" s="66" t="s">
        <v>305</v>
      </c>
      <c r="J134" s="66"/>
      <c r="K134" s="66" t="s">
        <v>284</v>
      </c>
      <c r="L134" s="66" t="s">
        <v>218</v>
      </c>
      <c r="M134" s="66" t="s">
        <v>148</v>
      </c>
      <c r="N134" s="66"/>
      <c r="O134" s="66"/>
      <c r="P134" s="78">
        <v>180000</v>
      </c>
      <c r="Q134" s="79" t="s">
        <v>121</v>
      </c>
      <c r="R134" s="79"/>
      <c r="S134" s="79"/>
      <c r="T134" s="79" t="s">
        <v>119</v>
      </c>
      <c r="U134" s="79"/>
      <c r="V134" s="79"/>
      <c r="W134" s="79"/>
      <c r="X134" s="66"/>
      <c r="Y134" s="79"/>
    </row>
    <row r="135" spans="6:25" ht="57.5" x14ac:dyDescent="0.25">
      <c r="F135" s="66" t="s">
        <v>616</v>
      </c>
      <c r="G135" s="66" t="s">
        <v>707</v>
      </c>
      <c r="H135" s="66"/>
      <c r="I135" s="66" t="s">
        <v>305</v>
      </c>
      <c r="J135" s="66"/>
      <c r="K135" s="66" t="s">
        <v>284</v>
      </c>
      <c r="L135" s="66" t="s">
        <v>218</v>
      </c>
      <c r="M135" s="66" t="s">
        <v>148</v>
      </c>
      <c r="N135" s="66"/>
      <c r="O135" s="66"/>
      <c r="P135" s="78">
        <v>240000</v>
      </c>
      <c r="Q135" s="79" t="s">
        <v>121</v>
      </c>
      <c r="R135" s="79"/>
      <c r="S135" s="79"/>
      <c r="T135" s="79" t="s">
        <v>119</v>
      </c>
      <c r="U135" s="79"/>
      <c r="V135" s="79"/>
      <c r="W135" s="79"/>
      <c r="X135" s="66"/>
      <c r="Y135" s="79"/>
    </row>
    <row r="136" spans="6:25" ht="57.5" x14ac:dyDescent="0.25">
      <c r="F136" s="66" t="s">
        <v>617</v>
      </c>
      <c r="G136" s="66" t="s">
        <v>310</v>
      </c>
      <c r="H136" s="66" t="s">
        <v>801</v>
      </c>
      <c r="I136" s="66" t="s">
        <v>115</v>
      </c>
      <c r="J136" s="66"/>
      <c r="K136" s="66" t="s">
        <v>284</v>
      </c>
      <c r="L136" s="66" t="s">
        <v>218</v>
      </c>
      <c r="M136" s="66" t="s">
        <v>148</v>
      </c>
      <c r="N136" s="66"/>
      <c r="O136" s="66"/>
      <c r="P136" s="78">
        <v>110000</v>
      </c>
      <c r="Q136" s="79" t="s">
        <v>121</v>
      </c>
      <c r="R136" s="79"/>
      <c r="S136" s="79"/>
      <c r="T136" s="79" t="s">
        <v>119</v>
      </c>
      <c r="U136" s="79"/>
      <c r="V136" s="79"/>
      <c r="W136" s="79"/>
      <c r="X136" s="66"/>
      <c r="Y136" s="79"/>
    </row>
    <row r="137" spans="6:25" ht="57.5" x14ac:dyDescent="0.25">
      <c r="F137" s="66" t="s">
        <v>618</v>
      </c>
      <c r="G137" s="66" t="s">
        <v>708</v>
      </c>
      <c r="H137" s="66" t="s">
        <v>801</v>
      </c>
      <c r="I137" s="66" t="s">
        <v>115</v>
      </c>
      <c r="J137" s="66"/>
      <c r="K137" s="66" t="s">
        <v>284</v>
      </c>
      <c r="L137" s="66" t="s">
        <v>860</v>
      </c>
      <c r="M137" s="66" t="s">
        <v>148</v>
      </c>
      <c r="N137" s="66"/>
      <c r="O137" s="66"/>
      <c r="P137" s="78">
        <v>50000</v>
      </c>
      <c r="Q137" s="79" t="s">
        <v>118</v>
      </c>
      <c r="R137" s="79"/>
      <c r="S137" s="79"/>
      <c r="T137" s="79"/>
      <c r="U137" s="79"/>
      <c r="V137" s="79" t="s">
        <v>119</v>
      </c>
      <c r="W137" s="79"/>
      <c r="X137" s="66"/>
      <c r="Y137" s="79"/>
    </row>
    <row r="138" spans="6:25" ht="103.5" x14ac:dyDescent="0.25">
      <c r="F138" s="66" t="s">
        <v>619</v>
      </c>
      <c r="G138" s="66" t="s">
        <v>114</v>
      </c>
      <c r="H138" s="66"/>
      <c r="I138" s="66" t="s">
        <v>115</v>
      </c>
      <c r="J138" s="66" t="s">
        <v>802</v>
      </c>
      <c r="K138" s="66" t="s">
        <v>284</v>
      </c>
      <c r="L138" s="66" t="s">
        <v>291</v>
      </c>
      <c r="M138" s="66" t="s">
        <v>275</v>
      </c>
      <c r="N138" s="66"/>
      <c r="O138" s="66"/>
      <c r="P138" s="78">
        <v>75000</v>
      </c>
      <c r="Q138" s="79" t="s">
        <v>121</v>
      </c>
      <c r="R138" s="79"/>
      <c r="S138" s="79"/>
      <c r="T138" s="79"/>
      <c r="U138" s="79"/>
      <c r="V138" s="79" t="s">
        <v>119</v>
      </c>
      <c r="W138" s="79"/>
      <c r="X138" s="66"/>
      <c r="Y138" s="79"/>
    </row>
    <row r="139" spans="6:25" ht="57.5" x14ac:dyDescent="0.25">
      <c r="F139" s="66" t="s">
        <v>312</v>
      </c>
      <c r="G139" s="66" t="s">
        <v>114</v>
      </c>
      <c r="H139" s="66"/>
      <c r="I139" s="66" t="s">
        <v>313</v>
      </c>
      <c r="J139" s="66"/>
      <c r="K139" s="66" t="s">
        <v>314</v>
      </c>
      <c r="L139" s="66" t="s">
        <v>861</v>
      </c>
      <c r="M139" s="66" t="s">
        <v>848</v>
      </c>
      <c r="N139" s="66" t="s">
        <v>918</v>
      </c>
      <c r="O139" s="66" t="s">
        <v>916</v>
      </c>
      <c r="P139" s="78">
        <v>50000</v>
      </c>
      <c r="Q139" s="79" t="s">
        <v>118</v>
      </c>
      <c r="R139" s="79"/>
      <c r="S139" s="79"/>
      <c r="T139" s="79"/>
      <c r="U139" s="79"/>
      <c r="V139" s="79" t="s">
        <v>119</v>
      </c>
      <c r="W139" s="79"/>
      <c r="X139" s="66"/>
      <c r="Y139" s="79"/>
    </row>
    <row r="140" spans="6:25" ht="57.5" x14ac:dyDescent="0.25">
      <c r="F140" s="66" t="s">
        <v>315</v>
      </c>
      <c r="G140" s="66" t="s">
        <v>709</v>
      </c>
      <c r="H140" s="66"/>
      <c r="I140" s="66" t="s">
        <v>115</v>
      </c>
      <c r="J140" s="66" t="s">
        <v>803</v>
      </c>
      <c r="K140" s="66" t="s">
        <v>314</v>
      </c>
      <c r="L140" s="66" t="s">
        <v>862</v>
      </c>
      <c r="M140" s="66" t="s">
        <v>167</v>
      </c>
      <c r="N140" s="66"/>
      <c r="O140" s="66"/>
      <c r="P140" s="78">
        <v>240000</v>
      </c>
      <c r="Q140" s="79" t="s">
        <v>121</v>
      </c>
      <c r="R140" s="79"/>
      <c r="S140" s="79"/>
      <c r="T140" s="79" t="s">
        <v>119</v>
      </c>
      <c r="U140" s="79"/>
      <c r="V140" s="79"/>
      <c r="W140" s="79"/>
      <c r="X140" s="66"/>
      <c r="Y140" s="79"/>
    </row>
    <row r="141" spans="6:25" ht="161" x14ac:dyDescent="0.25">
      <c r="F141" s="66" t="s">
        <v>316</v>
      </c>
      <c r="G141" s="66" t="s">
        <v>710</v>
      </c>
      <c r="H141" s="66"/>
      <c r="I141" s="66" t="s">
        <v>115</v>
      </c>
      <c r="J141" s="66" t="s">
        <v>804</v>
      </c>
      <c r="K141" s="66" t="s">
        <v>314</v>
      </c>
      <c r="L141" s="66" t="s">
        <v>218</v>
      </c>
      <c r="M141" s="66" t="s">
        <v>863</v>
      </c>
      <c r="N141" s="66"/>
      <c r="O141" s="66"/>
      <c r="P141" s="78">
        <v>170000</v>
      </c>
      <c r="Q141" s="79" t="s">
        <v>143</v>
      </c>
      <c r="R141" s="79"/>
      <c r="S141" s="79"/>
      <c r="T141" s="79"/>
      <c r="U141" s="79" t="s">
        <v>119</v>
      </c>
      <c r="V141" s="79" t="s">
        <v>119</v>
      </c>
      <c r="W141" s="79"/>
      <c r="X141" s="66"/>
      <c r="Y141" s="79"/>
    </row>
    <row r="142" spans="6:25" ht="34.5" x14ac:dyDescent="0.25">
      <c r="F142" s="66" t="s">
        <v>317</v>
      </c>
      <c r="G142" s="66" t="s">
        <v>711</v>
      </c>
      <c r="H142" s="66"/>
      <c r="I142" s="66" t="s">
        <v>115</v>
      </c>
      <c r="J142" s="66"/>
      <c r="K142" s="66" t="s">
        <v>314</v>
      </c>
      <c r="L142" s="66" t="s">
        <v>161</v>
      </c>
      <c r="M142" s="66" t="s">
        <v>142</v>
      </c>
      <c r="N142" s="66"/>
      <c r="O142" s="66"/>
      <c r="P142" s="78">
        <v>510000</v>
      </c>
      <c r="Q142" s="79" t="s">
        <v>124</v>
      </c>
      <c r="R142" s="79"/>
      <c r="S142" s="79"/>
      <c r="T142" s="79" t="s">
        <v>119</v>
      </c>
      <c r="U142" s="79"/>
      <c r="V142" s="79"/>
      <c r="W142" s="79"/>
      <c r="X142" s="66"/>
      <c r="Y142" s="79"/>
    </row>
    <row r="143" spans="6:25" ht="69" x14ac:dyDescent="0.25">
      <c r="F143" s="66" t="s">
        <v>318</v>
      </c>
      <c r="G143" s="66" t="s">
        <v>712</v>
      </c>
      <c r="H143" s="66"/>
      <c r="I143" s="66" t="s">
        <v>115</v>
      </c>
      <c r="J143" s="66" t="s">
        <v>805</v>
      </c>
      <c r="K143" s="66" t="s">
        <v>319</v>
      </c>
      <c r="L143" s="66" t="s">
        <v>117</v>
      </c>
      <c r="M143" s="66" t="s">
        <v>864</v>
      </c>
      <c r="N143" s="66" t="s">
        <v>922</v>
      </c>
      <c r="O143" s="66" t="s">
        <v>916</v>
      </c>
      <c r="P143" s="78">
        <v>600000</v>
      </c>
      <c r="Q143" s="79" t="s">
        <v>124</v>
      </c>
      <c r="R143" s="79"/>
      <c r="S143" s="79"/>
      <c r="T143" s="79" t="s">
        <v>119</v>
      </c>
      <c r="U143" s="79"/>
      <c r="V143" s="79" t="s">
        <v>119</v>
      </c>
      <c r="W143" s="79"/>
      <c r="X143" s="66"/>
      <c r="Y143" s="79"/>
    </row>
    <row r="144" spans="6:25" ht="92" x14ac:dyDescent="0.25">
      <c r="F144" s="66" t="s">
        <v>320</v>
      </c>
      <c r="G144" s="66" t="s">
        <v>713</v>
      </c>
      <c r="H144" s="66"/>
      <c r="I144" s="66" t="s">
        <v>321</v>
      </c>
      <c r="J144" s="66" t="s">
        <v>806</v>
      </c>
      <c r="K144" s="66" t="s">
        <v>319</v>
      </c>
      <c r="L144" s="66" t="s">
        <v>117</v>
      </c>
      <c r="M144" s="66" t="s">
        <v>148</v>
      </c>
      <c r="N144" s="66" t="s">
        <v>117</v>
      </c>
      <c r="O144" s="66"/>
      <c r="P144" s="78">
        <v>1260000</v>
      </c>
      <c r="Q144" s="79" t="s">
        <v>143</v>
      </c>
      <c r="R144" s="79"/>
      <c r="S144" s="79"/>
      <c r="T144" s="79" t="s">
        <v>119</v>
      </c>
      <c r="U144" s="79"/>
      <c r="V144" s="79" t="s">
        <v>119</v>
      </c>
      <c r="W144" s="79"/>
      <c r="X144" s="66"/>
      <c r="Y144" s="79"/>
    </row>
    <row r="145" spans="6:25" ht="92" x14ac:dyDescent="0.25">
      <c r="F145" s="66" t="s">
        <v>322</v>
      </c>
      <c r="G145" s="66" t="s">
        <v>714</v>
      </c>
      <c r="H145" s="66"/>
      <c r="I145" s="66" t="s">
        <v>321</v>
      </c>
      <c r="J145" s="66" t="s">
        <v>806</v>
      </c>
      <c r="K145" s="66" t="s">
        <v>319</v>
      </c>
      <c r="L145" s="66" t="s">
        <v>117</v>
      </c>
      <c r="M145" s="66" t="s">
        <v>148</v>
      </c>
      <c r="N145" s="66" t="s">
        <v>117</v>
      </c>
      <c r="O145" s="66"/>
      <c r="P145" s="78">
        <v>720000</v>
      </c>
      <c r="Q145" s="79" t="s">
        <v>124</v>
      </c>
      <c r="R145" s="79"/>
      <c r="S145" s="79"/>
      <c r="T145" s="79" t="s">
        <v>119</v>
      </c>
      <c r="U145" s="79"/>
      <c r="V145" s="79" t="s">
        <v>119</v>
      </c>
      <c r="W145" s="79"/>
      <c r="X145" s="66"/>
      <c r="Y145" s="79"/>
    </row>
    <row r="146" spans="6:25" ht="57.5" x14ac:dyDescent="0.25">
      <c r="F146" s="66" t="s">
        <v>323</v>
      </c>
      <c r="G146" s="66" t="s">
        <v>715</v>
      </c>
      <c r="H146" s="66"/>
      <c r="I146" s="66" t="s">
        <v>324</v>
      </c>
      <c r="J146" s="66" t="s">
        <v>767</v>
      </c>
      <c r="K146" s="66" t="s">
        <v>319</v>
      </c>
      <c r="L146" s="66" t="s">
        <v>117</v>
      </c>
      <c r="M146" s="66" t="s">
        <v>865</v>
      </c>
      <c r="N146" s="66" t="s">
        <v>922</v>
      </c>
      <c r="O146" s="66" t="s">
        <v>916</v>
      </c>
      <c r="P146" s="78">
        <v>2000000</v>
      </c>
      <c r="Q146" s="79" t="s">
        <v>143</v>
      </c>
      <c r="R146" s="79"/>
      <c r="S146" s="79" t="s">
        <v>119</v>
      </c>
      <c r="T146" s="79"/>
      <c r="U146" s="79"/>
      <c r="V146" s="79"/>
      <c r="W146" s="79"/>
      <c r="X146" s="66"/>
      <c r="Y146" s="79"/>
    </row>
    <row r="147" spans="6:25" ht="115" x14ac:dyDescent="0.25">
      <c r="F147" s="66" t="s">
        <v>325</v>
      </c>
      <c r="G147" s="66" t="s">
        <v>716</v>
      </c>
      <c r="H147" s="66"/>
      <c r="I147" s="66" t="s">
        <v>324</v>
      </c>
      <c r="J147" s="66" t="s">
        <v>807</v>
      </c>
      <c r="K147" s="66" t="s">
        <v>319</v>
      </c>
      <c r="L147" s="66" t="s">
        <v>117</v>
      </c>
      <c r="M147" s="66" t="s">
        <v>865</v>
      </c>
      <c r="N147" s="66" t="s">
        <v>922</v>
      </c>
      <c r="O147" s="66" t="s">
        <v>916</v>
      </c>
      <c r="P147" s="78">
        <v>600000</v>
      </c>
      <c r="Q147" s="79" t="s">
        <v>124</v>
      </c>
      <c r="R147" s="79"/>
      <c r="S147" s="79" t="s">
        <v>119</v>
      </c>
      <c r="T147" s="79"/>
      <c r="U147" s="79"/>
      <c r="V147" s="79"/>
      <c r="W147" s="79"/>
      <c r="X147" s="66"/>
      <c r="Y147" s="79"/>
    </row>
    <row r="148" spans="6:25" ht="104" x14ac:dyDescent="0.25">
      <c r="F148" s="66" t="s">
        <v>327</v>
      </c>
      <c r="G148" s="66" t="s">
        <v>326</v>
      </c>
      <c r="H148" s="66"/>
      <c r="I148" s="66" t="s">
        <v>115</v>
      </c>
      <c r="J148" s="73" t="s">
        <v>808</v>
      </c>
      <c r="K148" s="66" t="s">
        <v>319</v>
      </c>
      <c r="L148" s="66" t="s">
        <v>862</v>
      </c>
      <c r="M148" s="66" t="s">
        <v>866</v>
      </c>
      <c r="N148" s="66"/>
      <c r="O148" s="66"/>
      <c r="P148" s="78">
        <v>75000</v>
      </c>
      <c r="Q148" s="79" t="s">
        <v>121</v>
      </c>
      <c r="R148" s="79"/>
      <c r="S148" s="79"/>
      <c r="T148" s="79"/>
      <c r="U148" s="79"/>
      <c r="V148" s="79" t="s">
        <v>119</v>
      </c>
      <c r="W148" s="79"/>
      <c r="X148" s="66"/>
      <c r="Y148" s="79"/>
    </row>
    <row r="149" spans="6:25" ht="46" x14ac:dyDescent="0.25">
      <c r="F149" s="66" t="s">
        <v>329</v>
      </c>
      <c r="G149" s="66" t="s">
        <v>328</v>
      </c>
      <c r="H149" s="66"/>
      <c r="I149" s="66" t="s">
        <v>115</v>
      </c>
      <c r="J149" s="66"/>
      <c r="K149" s="66" t="s">
        <v>319</v>
      </c>
      <c r="L149" s="66" t="s">
        <v>218</v>
      </c>
      <c r="M149" s="66" t="s">
        <v>867</v>
      </c>
      <c r="N149" s="66"/>
      <c r="O149" s="66"/>
      <c r="P149" s="78">
        <v>360000</v>
      </c>
      <c r="Q149" s="79" t="s">
        <v>124</v>
      </c>
      <c r="R149" s="79"/>
      <c r="S149" s="79"/>
      <c r="T149" s="79" t="s">
        <v>119</v>
      </c>
      <c r="U149" s="79"/>
      <c r="V149" s="79"/>
      <c r="W149" s="79"/>
      <c r="X149" s="66"/>
      <c r="Y149" s="79"/>
    </row>
    <row r="150" spans="6:25" ht="46" x14ac:dyDescent="0.25">
      <c r="F150" s="67" t="s">
        <v>332</v>
      </c>
      <c r="G150" s="67" t="s">
        <v>330</v>
      </c>
      <c r="H150" s="67"/>
      <c r="I150" s="67" t="s">
        <v>331</v>
      </c>
      <c r="J150" s="67"/>
      <c r="K150" s="67" t="s">
        <v>319</v>
      </c>
      <c r="L150" s="67" t="s">
        <v>218</v>
      </c>
      <c r="M150" s="67" t="s">
        <v>867</v>
      </c>
      <c r="N150" s="67"/>
      <c r="O150" s="67"/>
      <c r="P150" s="78">
        <v>360000</v>
      </c>
      <c r="Q150" s="83" t="s">
        <v>124</v>
      </c>
      <c r="R150" s="83"/>
      <c r="S150" s="83" t="s">
        <v>119</v>
      </c>
      <c r="T150" s="83"/>
      <c r="U150" s="83"/>
      <c r="V150" s="83"/>
      <c r="W150" s="83"/>
      <c r="X150" s="67"/>
      <c r="Y150" s="83"/>
    </row>
    <row r="151" spans="6:25" ht="57.5" x14ac:dyDescent="0.25">
      <c r="F151" s="66" t="s">
        <v>620</v>
      </c>
      <c r="G151" s="66" t="s">
        <v>333</v>
      </c>
      <c r="H151" s="66"/>
      <c r="I151" s="66" t="s">
        <v>157</v>
      </c>
      <c r="J151" s="66"/>
      <c r="K151" s="66" t="s">
        <v>319</v>
      </c>
      <c r="L151" s="66" t="s">
        <v>218</v>
      </c>
      <c r="M151" s="66" t="s">
        <v>868</v>
      </c>
      <c r="N151" s="66"/>
      <c r="O151" s="66"/>
      <c r="P151" s="78">
        <v>3600000</v>
      </c>
      <c r="Q151" s="79" t="s">
        <v>143</v>
      </c>
      <c r="R151" s="79"/>
      <c r="S151" s="79"/>
      <c r="T151" s="79" t="s">
        <v>119</v>
      </c>
      <c r="U151" s="79"/>
      <c r="V151" s="79"/>
      <c r="W151" s="79"/>
      <c r="X151" s="66"/>
      <c r="Y151" s="79"/>
    </row>
    <row r="152" spans="6:25" ht="34.5" x14ac:dyDescent="0.25">
      <c r="F152" s="66" t="s">
        <v>621</v>
      </c>
      <c r="G152" s="70" t="s">
        <v>717</v>
      </c>
      <c r="H152" s="66"/>
      <c r="I152" s="66" t="s">
        <v>117</v>
      </c>
      <c r="J152" s="66"/>
      <c r="K152" s="66" t="s">
        <v>319</v>
      </c>
      <c r="L152" s="66" t="s">
        <v>117</v>
      </c>
      <c r="M152" s="66" t="s">
        <v>148</v>
      </c>
      <c r="N152" s="66"/>
      <c r="O152" s="66"/>
      <c r="P152" s="78">
        <v>360000</v>
      </c>
      <c r="Q152" s="79" t="s">
        <v>124</v>
      </c>
      <c r="R152" s="79"/>
      <c r="S152" s="79"/>
      <c r="T152" s="79" t="s">
        <v>119</v>
      </c>
      <c r="U152" s="79"/>
      <c r="V152" s="79"/>
      <c r="W152" s="79"/>
      <c r="X152" s="66"/>
      <c r="Y152" s="79"/>
    </row>
    <row r="153" spans="6:25" ht="69" x14ac:dyDescent="0.25">
      <c r="F153" s="66" t="s">
        <v>622</v>
      </c>
      <c r="G153" s="69" t="s">
        <v>718</v>
      </c>
      <c r="H153" s="66"/>
      <c r="I153" s="66" t="s">
        <v>809</v>
      </c>
      <c r="J153" s="66"/>
      <c r="K153" s="66" t="s">
        <v>319</v>
      </c>
      <c r="L153" s="66" t="s">
        <v>218</v>
      </c>
      <c r="M153" s="66" t="s">
        <v>148</v>
      </c>
      <c r="N153" s="66"/>
      <c r="O153" s="66"/>
      <c r="P153" s="78">
        <v>540000</v>
      </c>
      <c r="Q153" s="79" t="s">
        <v>124</v>
      </c>
      <c r="R153" s="79"/>
      <c r="S153" s="79" t="s">
        <v>119</v>
      </c>
      <c r="T153" s="79"/>
      <c r="U153" s="79"/>
      <c r="V153" s="79"/>
      <c r="W153" s="79"/>
      <c r="X153" s="66"/>
      <c r="Y153" s="79"/>
    </row>
    <row r="154" spans="6:25" ht="80.5" x14ac:dyDescent="0.25">
      <c r="F154" s="66" t="s">
        <v>334</v>
      </c>
      <c r="G154" s="70" t="s">
        <v>335</v>
      </c>
      <c r="H154" s="66" t="s">
        <v>375</v>
      </c>
      <c r="I154" s="66" t="s">
        <v>225</v>
      </c>
      <c r="J154" s="66" t="s">
        <v>810</v>
      </c>
      <c r="K154" s="66" t="s">
        <v>336</v>
      </c>
      <c r="L154" s="66" t="s">
        <v>161</v>
      </c>
      <c r="M154" s="66" t="s">
        <v>142</v>
      </c>
      <c r="N154" s="66"/>
      <c r="O154" s="66"/>
      <c r="P154" s="78">
        <v>820000</v>
      </c>
      <c r="Q154" s="79" t="s">
        <v>124</v>
      </c>
      <c r="R154" s="79"/>
      <c r="S154" s="79" t="s">
        <v>119</v>
      </c>
      <c r="T154" s="79"/>
      <c r="U154" s="79"/>
      <c r="V154" s="79"/>
      <c r="W154" s="79"/>
      <c r="X154" s="66"/>
      <c r="Y154" s="79"/>
    </row>
    <row r="155" spans="6:25" ht="80.5" x14ac:dyDescent="0.25">
      <c r="F155" s="66" t="s">
        <v>337</v>
      </c>
      <c r="G155" s="66" t="s">
        <v>719</v>
      </c>
      <c r="H155" s="66"/>
      <c r="I155" s="66" t="s">
        <v>338</v>
      </c>
      <c r="J155" s="66" t="s">
        <v>811</v>
      </c>
      <c r="K155" s="66" t="s">
        <v>336</v>
      </c>
      <c r="L155" s="66" t="s">
        <v>166</v>
      </c>
      <c r="M155" s="66" t="s">
        <v>142</v>
      </c>
      <c r="N155" s="66"/>
      <c r="O155" s="66"/>
      <c r="P155" s="78">
        <v>400000</v>
      </c>
      <c r="Q155" s="79" t="s">
        <v>121</v>
      </c>
      <c r="R155" s="79"/>
      <c r="S155" s="79"/>
      <c r="T155" s="79"/>
      <c r="U155" s="79" t="s">
        <v>119</v>
      </c>
      <c r="V155" s="79"/>
      <c r="W155" s="79"/>
      <c r="X155" s="66"/>
      <c r="Y155" s="79"/>
    </row>
    <row r="156" spans="6:25" ht="46" x14ac:dyDescent="0.25">
      <c r="F156" s="66" t="s">
        <v>339</v>
      </c>
      <c r="G156" s="66" t="s">
        <v>342</v>
      </c>
      <c r="H156" s="66"/>
      <c r="I156" s="66" t="s">
        <v>338</v>
      </c>
      <c r="J156" s="66"/>
      <c r="K156" s="66" t="s">
        <v>336</v>
      </c>
      <c r="L156" s="66" t="s">
        <v>166</v>
      </c>
      <c r="M156" s="66" t="s">
        <v>142</v>
      </c>
      <c r="N156" s="66"/>
      <c r="O156" s="66"/>
      <c r="P156" s="78">
        <v>310000</v>
      </c>
      <c r="Q156" s="79" t="s">
        <v>124</v>
      </c>
      <c r="R156" s="79"/>
      <c r="S156" s="79"/>
      <c r="T156" s="79" t="s">
        <v>119</v>
      </c>
      <c r="U156" s="79"/>
      <c r="V156" s="79"/>
      <c r="W156" s="79"/>
      <c r="X156" s="66"/>
      <c r="Y156" s="79"/>
    </row>
    <row r="157" spans="6:25" ht="46" x14ac:dyDescent="0.25">
      <c r="F157" s="66" t="s">
        <v>340</v>
      </c>
      <c r="G157" s="66" t="s">
        <v>344</v>
      </c>
      <c r="H157" s="66"/>
      <c r="I157" s="66" t="s">
        <v>115</v>
      </c>
      <c r="J157" s="66"/>
      <c r="K157" s="66" t="s">
        <v>336</v>
      </c>
      <c r="L157" s="66" t="s">
        <v>166</v>
      </c>
      <c r="M157" s="66" t="s">
        <v>869</v>
      </c>
      <c r="N157" s="66"/>
      <c r="O157" s="66"/>
      <c r="P157" s="78">
        <v>760000</v>
      </c>
      <c r="Q157" s="79" t="s">
        <v>143</v>
      </c>
      <c r="R157" s="79"/>
      <c r="S157" s="79" t="s">
        <v>119</v>
      </c>
      <c r="T157" s="79"/>
      <c r="U157" s="79"/>
      <c r="V157" s="79"/>
      <c r="W157" s="79"/>
      <c r="X157" s="66"/>
      <c r="Y157" s="79"/>
    </row>
    <row r="158" spans="6:25" ht="46" x14ac:dyDescent="0.25">
      <c r="F158" s="66" t="s">
        <v>341</v>
      </c>
      <c r="G158" s="66" t="s">
        <v>345</v>
      </c>
      <c r="H158" s="66"/>
      <c r="I158" s="66" t="s">
        <v>115</v>
      </c>
      <c r="J158" s="66"/>
      <c r="K158" s="66" t="s">
        <v>336</v>
      </c>
      <c r="L158" s="66" t="s">
        <v>166</v>
      </c>
      <c r="M158" s="66" t="s">
        <v>142</v>
      </c>
      <c r="N158" s="66"/>
      <c r="O158" s="66"/>
      <c r="P158" s="78">
        <v>540000</v>
      </c>
      <c r="Q158" s="79" t="s">
        <v>124</v>
      </c>
      <c r="R158" s="79"/>
      <c r="S158" s="79"/>
      <c r="T158" s="79" t="s">
        <v>119</v>
      </c>
      <c r="U158" s="79"/>
      <c r="V158" s="79"/>
      <c r="W158" s="79"/>
      <c r="X158" s="66"/>
      <c r="Y158" s="79"/>
    </row>
    <row r="159" spans="6:25" ht="57.5" x14ac:dyDescent="0.25">
      <c r="F159" s="66" t="s">
        <v>343</v>
      </c>
      <c r="G159" s="66" t="s">
        <v>720</v>
      </c>
      <c r="H159" s="66"/>
      <c r="I159" s="66" t="s">
        <v>166</v>
      </c>
      <c r="J159" s="66"/>
      <c r="K159" s="66" t="s">
        <v>336</v>
      </c>
      <c r="L159" s="66" t="s">
        <v>166</v>
      </c>
      <c r="M159" s="66" t="s">
        <v>148</v>
      </c>
      <c r="N159" s="66"/>
      <c r="O159" s="66"/>
      <c r="P159" s="78">
        <v>2600000</v>
      </c>
      <c r="Q159" s="79" t="s">
        <v>143</v>
      </c>
      <c r="R159" s="79"/>
      <c r="S159" s="79" t="s">
        <v>119</v>
      </c>
      <c r="T159" s="79"/>
      <c r="U159" s="79"/>
      <c r="V159" s="79"/>
      <c r="W159" s="79"/>
      <c r="X159" s="66"/>
      <c r="Y159" s="79"/>
    </row>
    <row r="160" spans="6:25" ht="34.5" x14ac:dyDescent="0.25">
      <c r="F160" s="66" t="s">
        <v>346</v>
      </c>
      <c r="G160" s="66" t="s">
        <v>347</v>
      </c>
      <c r="H160" s="66"/>
      <c r="I160" s="66" t="s">
        <v>115</v>
      </c>
      <c r="J160" s="66"/>
      <c r="K160" s="66" t="s">
        <v>348</v>
      </c>
      <c r="L160" s="66" t="s">
        <v>184</v>
      </c>
      <c r="M160" s="66" t="s">
        <v>285</v>
      </c>
      <c r="N160" s="66"/>
      <c r="O160" s="66"/>
      <c r="P160" s="78">
        <v>220000</v>
      </c>
      <c r="Q160" s="79" t="s">
        <v>121</v>
      </c>
      <c r="R160" s="79"/>
      <c r="S160" s="79"/>
      <c r="T160" s="79"/>
      <c r="U160" s="79"/>
      <c r="V160" s="79"/>
      <c r="W160" s="79"/>
      <c r="X160" s="66"/>
      <c r="Y160" s="79"/>
    </row>
    <row r="161" spans="6:25" ht="80.5" x14ac:dyDescent="0.25">
      <c r="F161" s="66" t="s">
        <v>349</v>
      </c>
      <c r="G161" s="66" t="s">
        <v>350</v>
      </c>
      <c r="H161" s="66"/>
      <c r="I161" s="66" t="s">
        <v>115</v>
      </c>
      <c r="J161" s="66" t="s">
        <v>812</v>
      </c>
      <c r="K161" s="66" t="s">
        <v>348</v>
      </c>
      <c r="L161" s="66" t="s">
        <v>184</v>
      </c>
      <c r="M161" s="66" t="s">
        <v>285</v>
      </c>
      <c r="N161" s="66"/>
      <c r="O161" s="66"/>
      <c r="P161" s="78">
        <v>650000</v>
      </c>
      <c r="Q161" s="79" t="s">
        <v>124</v>
      </c>
      <c r="R161" s="79"/>
      <c r="S161" s="79"/>
      <c r="T161" s="79" t="s">
        <v>119</v>
      </c>
      <c r="U161" s="79"/>
      <c r="V161" s="79"/>
      <c r="W161" s="79"/>
      <c r="X161" s="66"/>
      <c r="Y161" s="79"/>
    </row>
    <row r="162" spans="6:25" ht="34.5" x14ac:dyDescent="0.25">
      <c r="F162" s="66" t="s">
        <v>351</v>
      </c>
      <c r="G162" s="66" t="s">
        <v>352</v>
      </c>
      <c r="H162" s="66"/>
      <c r="I162" s="66" t="s">
        <v>115</v>
      </c>
      <c r="J162" s="66"/>
      <c r="K162" s="66" t="s">
        <v>348</v>
      </c>
      <c r="L162" s="66" t="s">
        <v>184</v>
      </c>
      <c r="M162" s="66" t="s">
        <v>285</v>
      </c>
      <c r="N162" s="66"/>
      <c r="O162" s="66"/>
      <c r="P162" s="78">
        <v>1700000</v>
      </c>
      <c r="Q162" s="79" t="s">
        <v>143</v>
      </c>
      <c r="R162" s="79"/>
      <c r="S162" s="79"/>
      <c r="T162" s="79" t="s">
        <v>119</v>
      </c>
      <c r="U162" s="79"/>
      <c r="V162" s="79"/>
      <c r="W162" s="79"/>
      <c r="X162" s="66"/>
      <c r="Y162" s="79"/>
    </row>
    <row r="163" spans="6:25" ht="46" x14ac:dyDescent="0.25">
      <c r="F163" s="66" t="s">
        <v>353</v>
      </c>
      <c r="G163" s="66" t="s">
        <v>354</v>
      </c>
      <c r="H163" s="66" t="s">
        <v>813</v>
      </c>
      <c r="I163" s="66" t="s">
        <v>203</v>
      </c>
      <c r="J163" s="66" t="s">
        <v>814</v>
      </c>
      <c r="K163" s="66" t="s">
        <v>348</v>
      </c>
      <c r="L163" s="66" t="s">
        <v>279</v>
      </c>
      <c r="M163" s="66" t="s">
        <v>275</v>
      </c>
      <c r="N163" s="66"/>
      <c r="O163" s="66"/>
      <c r="P163" s="78">
        <v>250000</v>
      </c>
      <c r="Q163" s="79" t="s">
        <v>121</v>
      </c>
      <c r="R163" s="79"/>
      <c r="S163" s="79"/>
      <c r="T163" s="79" t="s">
        <v>119</v>
      </c>
      <c r="U163" s="79"/>
      <c r="V163" s="79"/>
      <c r="W163" s="79"/>
      <c r="X163" s="66"/>
      <c r="Y163" s="79"/>
    </row>
    <row r="164" spans="6:25" ht="69" x14ac:dyDescent="0.25">
      <c r="F164" s="66" t="s">
        <v>623</v>
      </c>
      <c r="G164" s="66" t="s">
        <v>356</v>
      </c>
      <c r="H164" s="66"/>
      <c r="I164" s="66" t="s">
        <v>357</v>
      </c>
      <c r="J164" s="66"/>
      <c r="K164" s="66" t="s">
        <v>348</v>
      </c>
      <c r="L164" s="66" t="s">
        <v>131</v>
      </c>
      <c r="M164" s="66" t="s">
        <v>148</v>
      </c>
      <c r="N164" s="66"/>
      <c r="O164" s="66"/>
      <c r="P164" s="78">
        <v>250000</v>
      </c>
      <c r="Q164" s="79" t="s">
        <v>121</v>
      </c>
      <c r="R164" s="79"/>
      <c r="S164" s="79"/>
      <c r="T164" s="79" t="s">
        <v>119</v>
      </c>
      <c r="U164" s="79"/>
      <c r="V164" s="79"/>
      <c r="W164" s="79"/>
      <c r="X164" s="66"/>
      <c r="Y164" s="79"/>
    </row>
    <row r="165" spans="6:25" ht="34.5" x14ac:dyDescent="0.25">
      <c r="F165" s="66" t="s">
        <v>355</v>
      </c>
      <c r="G165" s="66" t="s">
        <v>359</v>
      </c>
      <c r="H165" s="66"/>
      <c r="I165" s="66" t="s">
        <v>115</v>
      </c>
      <c r="J165" s="66"/>
      <c r="K165" s="66" t="s">
        <v>348</v>
      </c>
      <c r="L165" s="66" t="s">
        <v>131</v>
      </c>
      <c r="M165" s="66" t="s">
        <v>148</v>
      </c>
      <c r="N165" s="66"/>
      <c r="O165" s="66"/>
      <c r="P165" s="78">
        <v>50000</v>
      </c>
      <c r="Q165" s="79" t="s">
        <v>118</v>
      </c>
      <c r="R165" s="79"/>
      <c r="S165" s="79"/>
      <c r="T165" s="79"/>
      <c r="U165" s="79"/>
      <c r="V165" s="79" t="s">
        <v>119</v>
      </c>
      <c r="W165" s="79"/>
      <c r="X165" s="66"/>
      <c r="Y165" s="79"/>
    </row>
    <row r="166" spans="6:25" ht="23" x14ac:dyDescent="0.25">
      <c r="F166" s="66" t="s">
        <v>358</v>
      </c>
      <c r="G166" s="66" t="s">
        <v>361</v>
      </c>
      <c r="H166" s="66"/>
      <c r="I166" s="66" t="s">
        <v>115</v>
      </c>
      <c r="J166" s="66"/>
      <c r="K166" s="66" t="s">
        <v>348</v>
      </c>
      <c r="L166" s="66" t="s">
        <v>131</v>
      </c>
      <c r="M166" s="66" t="s">
        <v>148</v>
      </c>
      <c r="N166" s="66"/>
      <c r="O166" s="66"/>
      <c r="P166" s="78">
        <v>150000</v>
      </c>
      <c r="Q166" s="79" t="s">
        <v>121</v>
      </c>
      <c r="R166" s="79"/>
      <c r="S166" s="79" t="s">
        <v>119</v>
      </c>
      <c r="T166" s="79"/>
      <c r="U166" s="79"/>
      <c r="V166" s="79"/>
      <c r="W166" s="79"/>
      <c r="X166" s="66"/>
      <c r="Y166" s="79"/>
    </row>
    <row r="167" spans="6:25" ht="92" x14ac:dyDescent="0.25">
      <c r="F167" s="66" t="s">
        <v>360</v>
      </c>
      <c r="G167" s="66" t="s">
        <v>362</v>
      </c>
      <c r="H167" s="66"/>
      <c r="I167" s="66" t="s">
        <v>363</v>
      </c>
      <c r="J167" s="66"/>
      <c r="K167" s="66" t="s">
        <v>348</v>
      </c>
      <c r="L167" s="66" t="s">
        <v>131</v>
      </c>
      <c r="M167" s="66" t="s">
        <v>148</v>
      </c>
      <c r="N167" s="66"/>
      <c r="O167" s="66"/>
      <c r="P167" s="78">
        <v>220000</v>
      </c>
      <c r="Q167" s="79" t="s">
        <v>121</v>
      </c>
      <c r="R167" s="79"/>
      <c r="S167" s="79"/>
      <c r="T167" s="79" t="s">
        <v>119</v>
      </c>
      <c r="U167" s="79"/>
      <c r="V167" s="79"/>
      <c r="W167" s="79"/>
      <c r="X167" s="66"/>
      <c r="Y167" s="79"/>
    </row>
    <row r="168" spans="6:25" ht="103.5" x14ac:dyDescent="0.25">
      <c r="F168" s="66" t="s">
        <v>624</v>
      </c>
      <c r="G168" s="66" t="s">
        <v>721</v>
      </c>
      <c r="H168" s="66"/>
      <c r="I168" s="66" t="s">
        <v>815</v>
      </c>
      <c r="J168" s="66"/>
      <c r="K168" s="66" t="s">
        <v>348</v>
      </c>
      <c r="L168" s="66" t="s">
        <v>131</v>
      </c>
      <c r="M168" s="66" t="s">
        <v>148</v>
      </c>
      <c r="N168" s="66"/>
      <c r="O168" s="66"/>
      <c r="P168" s="78">
        <v>900000</v>
      </c>
      <c r="Q168" s="79" t="s">
        <v>124</v>
      </c>
      <c r="R168" s="79"/>
      <c r="S168" s="79"/>
      <c r="T168" s="79" t="s">
        <v>119</v>
      </c>
      <c r="U168" s="79"/>
      <c r="V168" s="79"/>
      <c r="W168" s="79"/>
      <c r="X168" s="66"/>
      <c r="Y168" s="79"/>
    </row>
    <row r="169" spans="6:25" ht="46" x14ac:dyDescent="0.25">
      <c r="F169" s="66" t="s">
        <v>364</v>
      </c>
      <c r="G169" s="66" t="s">
        <v>150</v>
      </c>
      <c r="H169" s="66"/>
      <c r="I169" s="66" t="s">
        <v>115</v>
      </c>
      <c r="J169" s="66"/>
      <c r="K169" s="66" t="s">
        <v>348</v>
      </c>
      <c r="L169" s="66" t="s">
        <v>870</v>
      </c>
      <c r="M169" s="66" t="s">
        <v>275</v>
      </c>
      <c r="N169" s="66"/>
      <c r="O169" s="66"/>
      <c r="P169" s="78">
        <v>75000</v>
      </c>
      <c r="Q169" s="79" t="s">
        <v>121</v>
      </c>
      <c r="R169" s="79"/>
      <c r="S169" s="79"/>
      <c r="T169" s="79"/>
      <c r="U169" s="79"/>
      <c r="V169" s="79" t="s">
        <v>119</v>
      </c>
      <c r="W169" s="79"/>
      <c r="X169" s="66"/>
      <c r="Y169" s="79"/>
    </row>
    <row r="170" spans="6:25" ht="46" x14ac:dyDescent="0.25">
      <c r="F170" s="66" t="s">
        <v>365</v>
      </c>
      <c r="G170" s="66" t="s">
        <v>367</v>
      </c>
      <c r="H170" s="66"/>
      <c r="I170" s="66" t="s">
        <v>368</v>
      </c>
      <c r="J170" s="66" t="s">
        <v>816</v>
      </c>
      <c r="K170" s="66" t="s">
        <v>348</v>
      </c>
      <c r="L170" s="66" t="s">
        <v>870</v>
      </c>
      <c r="M170" s="66" t="s">
        <v>275</v>
      </c>
      <c r="N170" s="66"/>
      <c r="O170" s="66"/>
      <c r="P170" s="78">
        <v>1700000</v>
      </c>
      <c r="Q170" s="79" t="s">
        <v>143</v>
      </c>
      <c r="R170" s="79"/>
      <c r="S170" s="79"/>
      <c r="T170" s="79" t="s">
        <v>119</v>
      </c>
      <c r="U170" s="79"/>
      <c r="V170" s="79"/>
      <c r="W170" s="79"/>
      <c r="X170" s="66"/>
      <c r="Y170" s="79"/>
    </row>
    <row r="171" spans="6:25" ht="126.5" x14ac:dyDescent="0.25">
      <c r="F171" s="66" t="s">
        <v>366</v>
      </c>
      <c r="G171" s="66" t="s">
        <v>722</v>
      </c>
      <c r="H171" s="66"/>
      <c r="I171" s="66" t="s">
        <v>368</v>
      </c>
      <c r="J171" s="66" t="s">
        <v>817</v>
      </c>
      <c r="K171" s="66" t="s">
        <v>348</v>
      </c>
      <c r="L171" s="66" t="s">
        <v>131</v>
      </c>
      <c r="M171" s="66" t="s">
        <v>148</v>
      </c>
      <c r="N171" s="66"/>
      <c r="O171" s="66"/>
      <c r="P171" s="78">
        <v>165000</v>
      </c>
      <c r="Q171" s="79" t="s">
        <v>121</v>
      </c>
      <c r="R171" s="79"/>
      <c r="S171" s="79"/>
      <c r="T171" s="79" t="s">
        <v>119</v>
      </c>
      <c r="U171" s="79"/>
      <c r="V171" s="79"/>
      <c r="W171" s="79"/>
      <c r="X171" s="66"/>
      <c r="Y171" s="79"/>
    </row>
    <row r="172" spans="6:25" ht="172.5" x14ac:dyDescent="0.25">
      <c r="F172" s="66" t="s">
        <v>369</v>
      </c>
      <c r="G172" s="66" t="s">
        <v>723</v>
      </c>
      <c r="H172" s="66"/>
      <c r="I172" s="66" t="s">
        <v>371</v>
      </c>
      <c r="J172" s="66" t="s">
        <v>818</v>
      </c>
      <c r="K172" s="66" t="s">
        <v>348</v>
      </c>
      <c r="L172" s="66" t="s">
        <v>372</v>
      </c>
      <c r="M172" s="66" t="s">
        <v>285</v>
      </c>
      <c r="N172" s="66"/>
      <c r="O172" s="66"/>
      <c r="P172" s="78">
        <v>1800000</v>
      </c>
      <c r="Q172" s="79" t="s">
        <v>143</v>
      </c>
      <c r="R172" s="79"/>
      <c r="S172" s="79" t="s">
        <v>119</v>
      </c>
      <c r="T172" s="79"/>
      <c r="U172" s="79"/>
      <c r="V172" s="79"/>
      <c r="W172" s="79"/>
      <c r="X172" s="66"/>
      <c r="Y172" s="79"/>
    </row>
    <row r="173" spans="6:25" ht="172.5" x14ac:dyDescent="0.25">
      <c r="F173" s="66" t="s">
        <v>370</v>
      </c>
      <c r="G173" s="66" t="s">
        <v>724</v>
      </c>
      <c r="H173" s="66"/>
      <c r="I173" s="66" t="s">
        <v>371</v>
      </c>
      <c r="J173" s="66" t="s">
        <v>818</v>
      </c>
      <c r="K173" s="66" t="s">
        <v>348</v>
      </c>
      <c r="L173" s="66" t="s">
        <v>372</v>
      </c>
      <c r="M173" s="66" t="s">
        <v>148</v>
      </c>
      <c r="N173" s="66"/>
      <c r="O173" s="66"/>
      <c r="P173" s="78">
        <v>900000</v>
      </c>
      <c r="Q173" s="79" t="s">
        <v>124</v>
      </c>
      <c r="R173" s="79"/>
      <c r="S173" s="79" t="s">
        <v>119</v>
      </c>
      <c r="T173" s="79"/>
      <c r="U173" s="79"/>
      <c r="V173" s="79"/>
      <c r="W173" s="79"/>
      <c r="X173" s="66"/>
      <c r="Y173" s="79"/>
    </row>
    <row r="174" spans="6:25" ht="161" x14ac:dyDescent="0.25">
      <c r="F174" s="66" t="s">
        <v>625</v>
      </c>
      <c r="G174" s="66" t="s">
        <v>725</v>
      </c>
      <c r="H174" s="66"/>
      <c r="I174" s="66" t="s">
        <v>117</v>
      </c>
      <c r="J174" s="66" t="s">
        <v>819</v>
      </c>
      <c r="K174" s="66" t="s">
        <v>871</v>
      </c>
      <c r="L174" s="66" t="s">
        <v>117</v>
      </c>
      <c r="M174" s="66" t="s">
        <v>872</v>
      </c>
      <c r="N174" s="66"/>
      <c r="O174" s="66"/>
      <c r="P174" s="78">
        <v>1500000</v>
      </c>
      <c r="Q174" s="79" t="s">
        <v>143</v>
      </c>
      <c r="R174" s="79"/>
      <c r="S174" s="79" t="s">
        <v>119</v>
      </c>
      <c r="T174" s="79"/>
      <c r="U174" s="79"/>
      <c r="V174" s="79"/>
      <c r="W174" s="79"/>
      <c r="X174" s="66"/>
      <c r="Y174" s="79"/>
    </row>
    <row r="175" spans="6:25" ht="57.5" x14ac:dyDescent="0.25">
      <c r="F175" s="66" t="s">
        <v>373</v>
      </c>
      <c r="G175" s="66" t="s">
        <v>374</v>
      </c>
      <c r="H175" s="66" t="s">
        <v>756</v>
      </c>
      <c r="I175" s="66" t="s">
        <v>216</v>
      </c>
      <c r="J175" s="66" t="s">
        <v>820</v>
      </c>
      <c r="K175" s="66" t="s">
        <v>376</v>
      </c>
      <c r="L175" s="66" t="s">
        <v>218</v>
      </c>
      <c r="M175" s="66" t="s">
        <v>873</v>
      </c>
      <c r="N175" s="66"/>
      <c r="O175" s="66"/>
      <c r="P175" s="78">
        <v>510000</v>
      </c>
      <c r="Q175" s="79" t="s">
        <v>124</v>
      </c>
      <c r="R175" s="79"/>
      <c r="S175" s="80" t="s">
        <v>119</v>
      </c>
      <c r="T175" s="79"/>
      <c r="U175" s="79"/>
      <c r="V175" s="79"/>
      <c r="W175" s="79"/>
      <c r="X175" s="66"/>
      <c r="Y175" s="79" t="s">
        <v>119</v>
      </c>
    </row>
    <row r="176" spans="6:25" ht="273" x14ac:dyDescent="0.25">
      <c r="F176" s="66" t="s">
        <v>377</v>
      </c>
      <c r="G176" s="66" t="s">
        <v>726</v>
      </c>
      <c r="H176" s="66"/>
      <c r="I176" s="66" t="s">
        <v>378</v>
      </c>
      <c r="J176" s="74" t="s">
        <v>821</v>
      </c>
      <c r="K176" s="66" t="s">
        <v>376</v>
      </c>
      <c r="L176" s="66" t="s">
        <v>117</v>
      </c>
      <c r="M176" s="66" t="s">
        <v>874</v>
      </c>
      <c r="N176" s="66"/>
      <c r="O176" s="66" t="s">
        <v>916</v>
      </c>
      <c r="P176" s="78">
        <v>1500000</v>
      </c>
      <c r="Q176" s="79" t="s">
        <v>143</v>
      </c>
      <c r="R176" s="79"/>
      <c r="S176" s="80" t="s">
        <v>119</v>
      </c>
      <c r="T176" s="79"/>
      <c r="U176" s="79"/>
      <c r="V176" s="79"/>
      <c r="W176" s="79"/>
      <c r="X176" s="66"/>
      <c r="Y176" s="79"/>
    </row>
    <row r="177" spans="6:25" ht="34.5" x14ac:dyDescent="0.25">
      <c r="F177" s="66" t="s">
        <v>379</v>
      </c>
      <c r="G177" s="66" t="s">
        <v>727</v>
      </c>
      <c r="H177" s="66"/>
      <c r="I177" s="66" t="s">
        <v>115</v>
      </c>
      <c r="J177" s="70"/>
      <c r="K177" s="66" t="s">
        <v>376</v>
      </c>
      <c r="L177" s="66" t="s">
        <v>218</v>
      </c>
      <c r="M177" s="66" t="s">
        <v>863</v>
      </c>
      <c r="N177" s="66"/>
      <c r="O177" s="66"/>
      <c r="P177" s="78">
        <v>400000</v>
      </c>
      <c r="Q177" s="79" t="s">
        <v>124</v>
      </c>
      <c r="R177" s="79"/>
      <c r="S177" s="79"/>
      <c r="T177" s="79"/>
      <c r="U177" s="79" t="s">
        <v>119</v>
      </c>
      <c r="V177" s="79"/>
      <c r="W177" s="79"/>
      <c r="X177" s="66"/>
      <c r="Y177" s="79"/>
    </row>
    <row r="178" spans="6:25" ht="69" x14ac:dyDescent="0.25">
      <c r="F178" s="66" t="s">
        <v>380</v>
      </c>
      <c r="G178" s="66" t="s">
        <v>382</v>
      </c>
      <c r="H178" s="66" t="s">
        <v>135</v>
      </c>
      <c r="I178" s="66" t="s">
        <v>225</v>
      </c>
      <c r="J178" s="66" t="s">
        <v>822</v>
      </c>
      <c r="K178" s="66" t="s">
        <v>376</v>
      </c>
      <c r="L178" s="66" t="s">
        <v>218</v>
      </c>
      <c r="M178" s="66"/>
      <c r="N178" s="66"/>
      <c r="O178" s="66"/>
      <c r="P178" s="78">
        <v>125000</v>
      </c>
      <c r="Q178" s="79" t="s">
        <v>121</v>
      </c>
      <c r="R178" s="79"/>
      <c r="S178" s="79" t="s">
        <v>119</v>
      </c>
      <c r="T178" s="79"/>
      <c r="U178" s="79"/>
      <c r="V178" s="79"/>
      <c r="W178" s="79"/>
      <c r="X178" s="66"/>
      <c r="Y178" s="79"/>
    </row>
    <row r="179" spans="6:25" ht="69" x14ac:dyDescent="0.25">
      <c r="F179" s="66" t="s">
        <v>381</v>
      </c>
      <c r="G179" s="66" t="s">
        <v>384</v>
      </c>
      <c r="H179" s="66" t="s">
        <v>135</v>
      </c>
      <c r="I179" s="66" t="s">
        <v>115</v>
      </c>
      <c r="J179" s="66" t="s">
        <v>822</v>
      </c>
      <c r="K179" s="66" t="s">
        <v>376</v>
      </c>
      <c r="L179" s="66" t="s">
        <v>218</v>
      </c>
      <c r="M179" s="66" t="s">
        <v>855</v>
      </c>
      <c r="N179" s="66"/>
      <c r="O179" s="66"/>
      <c r="P179" s="78">
        <v>150000</v>
      </c>
      <c r="Q179" s="79" t="s">
        <v>121</v>
      </c>
      <c r="R179" s="79"/>
      <c r="S179" s="79"/>
      <c r="T179" s="79" t="s">
        <v>119</v>
      </c>
      <c r="U179" s="79"/>
      <c r="V179" s="79"/>
      <c r="W179" s="79"/>
      <c r="X179" s="66"/>
      <c r="Y179" s="79"/>
    </row>
    <row r="180" spans="6:25" ht="34.5" x14ac:dyDescent="0.25">
      <c r="F180" s="66" t="s">
        <v>383</v>
      </c>
      <c r="G180" s="66" t="s">
        <v>386</v>
      </c>
      <c r="H180" s="66"/>
      <c r="I180" s="66" t="s">
        <v>225</v>
      </c>
      <c r="J180" s="66"/>
      <c r="K180" s="66" t="s">
        <v>376</v>
      </c>
      <c r="L180" s="66" t="s">
        <v>218</v>
      </c>
      <c r="M180" s="66"/>
      <c r="N180" s="66"/>
      <c r="O180" s="66"/>
      <c r="P180" s="78">
        <v>125000</v>
      </c>
      <c r="Q180" s="79" t="s">
        <v>121</v>
      </c>
      <c r="R180" s="79"/>
      <c r="S180" s="79" t="s">
        <v>119</v>
      </c>
      <c r="T180" s="79"/>
      <c r="U180" s="79"/>
      <c r="V180" s="79"/>
      <c r="W180" s="79"/>
      <c r="X180" s="66"/>
      <c r="Y180" s="79"/>
    </row>
    <row r="181" spans="6:25" ht="23" x14ac:dyDescent="0.25">
      <c r="F181" s="66" t="s">
        <v>385</v>
      </c>
      <c r="G181" s="66" t="s">
        <v>388</v>
      </c>
      <c r="H181" s="66"/>
      <c r="I181" s="66" t="s">
        <v>115</v>
      </c>
      <c r="J181" s="66"/>
      <c r="K181" s="66" t="s">
        <v>376</v>
      </c>
      <c r="L181" s="66" t="s">
        <v>218</v>
      </c>
      <c r="M181" s="66" t="s">
        <v>142</v>
      </c>
      <c r="N181" s="66"/>
      <c r="O181" s="66"/>
      <c r="P181" s="78">
        <v>400000</v>
      </c>
      <c r="Q181" s="79" t="s">
        <v>124</v>
      </c>
      <c r="R181" s="79"/>
      <c r="S181" s="79"/>
      <c r="T181" s="79"/>
      <c r="U181" s="79" t="s">
        <v>119</v>
      </c>
      <c r="V181" s="79"/>
      <c r="W181" s="79"/>
      <c r="X181" s="66"/>
      <c r="Y181" s="79"/>
    </row>
    <row r="182" spans="6:25" ht="34.5" x14ac:dyDescent="0.25">
      <c r="F182" s="66" t="s">
        <v>387</v>
      </c>
      <c r="G182" s="66" t="s">
        <v>390</v>
      </c>
      <c r="H182" s="66"/>
      <c r="I182" s="66" t="s">
        <v>225</v>
      </c>
      <c r="J182" s="66"/>
      <c r="K182" s="66" t="s">
        <v>376</v>
      </c>
      <c r="L182" s="66" t="s">
        <v>218</v>
      </c>
      <c r="M182" s="66"/>
      <c r="N182" s="66"/>
      <c r="O182" s="66"/>
      <c r="P182" s="78">
        <v>160000</v>
      </c>
      <c r="Q182" s="79" t="s">
        <v>121</v>
      </c>
      <c r="R182" s="79"/>
      <c r="S182" s="79" t="s">
        <v>119</v>
      </c>
      <c r="T182" s="79"/>
      <c r="U182" s="79"/>
      <c r="V182" s="79"/>
      <c r="W182" s="79"/>
      <c r="X182" s="66"/>
      <c r="Y182" s="79"/>
    </row>
    <row r="183" spans="6:25" ht="46" x14ac:dyDescent="0.25">
      <c r="F183" s="66" t="s">
        <v>389</v>
      </c>
      <c r="G183" s="66" t="s">
        <v>393</v>
      </c>
      <c r="H183" s="66" t="s">
        <v>823</v>
      </c>
      <c r="I183" s="66" t="s">
        <v>225</v>
      </c>
      <c r="J183" s="66" t="s">
        <v>824</v>
      </c>
      <c r="K183" s="66" t="s">
        <v>376</v>
      </c>
      <c r="L183" s="66" t="s">
        <v>218</v>
      </c>
      <c r="M183" s="66"/>
      <c r="N183" s="66"/>
      <c r="O183" s="66"/>
      <c r="P183" s="78">
        <v>125000</v>
      </c>
      <c r="Q183" s="79" t="s">
        <v>121</v>
      </c>
      <c r="R183" s="79"/>
      <c r="S183" s="79" t="s">
        <v>119</v>
      </c>
      <c r="T183" s="79"/>
      <c r="U183" s="79"/>
      <c r="V183" s="79"/>
      <c r="W183" s="79"/>
      <c r="X183" s="66"/>
      <c r="Y183" s="79"/>
    </row>
    <row r="184" spans="6:25" ht="34.5" x14ac:dyDescent="0.25">
      <c r="F184" s="66" t="s">
        <v>391</v>
      </c>
      <c r="G184" s="66" t="s">
        <v>397</v>
      </c>
      <c r="H184" s="66" t="s">
        <v>825</v>
      </c>
      <c r="I184" s="66" t="s">
        <v>225</v>
      </c>
      <c r="J184" s="66"/>
      <c r="K184" s="66" t="s">
        <v>376</v>
      </c>
      <c r="L184" s="66" t="s">
        <v>218</v>
      </c>
      <c r="M184" s="66" t="s">
        <v>855</v>
      </c>
      <c r="N184" s="66"/>
      <c r="O184" s="66"/>
      <c r="P184" s="78">
        <v>360000</v>
      </c>
      <c r="Q184" s="79" t="s">
        <v>124</v>
      </c>
      <c r="R184" s="79"/>
      <c r="S184" s="79"/>
      <c r="T184" s="79" t="s">
        <v>119</v>
      </c>
      <c r="U184" s="79"/>
      <c r="V184" s="79"/>
      <c r="W184" s="79"/>
      <c r="X184" s="66"/>
      <c r="Y184" s="79"/>
    </row>
    <row r="185" spans="6:25" ht="23" x14ac:dyDescent="0.25">
      <c r="F185" s="66" t="s">
        <v>392</v>
      </c>
      <c r="G185" s="66" t="s">
        <v>399</v>
      </c>
      <c r="H185" s="66"/>
      <c r="I185" s="66" t="s">
        <v>115</v>
      </c>
      <c r="J185" s="66"/>
      <c r="K185" s="66" t="s">
        <v>376</v>
      </c>
      <c r="L185" s="66" t="s">
        <v>218</v>
      </c>
      <c r="M185" s="66" t="s">
        <v>142</v>
      </c>
      <c r="N185" s="66"/>
      <c r="O185" s="66"/>
      <c r="P185" s="78">
        <v>400000</v>
      </c>
      <c r="Q185" s="79" t="s">
        <v>124</v>
      </c>
      <c r="R185" s="79"/>
      <c r="S185" s="79"/>
      <c r="T185" s="79"/>
      <c r="U185" s="79" t="s">
        <v>119</v>
      </c>
      <c r="V185" s="79"/>
      <c r="W185" s="79"/>
      <c r="X185" s="66"/>
      <c r="Y185" s="79"/>
    </row>
    <row r="186" spans="6:25" ht="34.5" x14ac:dyDescent="0.25">
      <c r="F186" s="66" t="s">
        <v>394</v>
      </c>
      <c r="G186" s="66" t="s">
        <v>728</v>
      </c>
      <c r="H186" s="66"/>
      <c r="I186" s="66" t="s">
        <v>826</v>
      </c>
      <c r="J186" s="66"/>
      <c r="K186" s="66"/>
      <c r="L186" s="66"/>
      <c r="M186" s="66"/>
      <c r="N186" s="66"/>
      <c r="O186" s="66"/>
      <c r="P186" s="78">
        <v>1600000</v>
      </c>
      <c r="Q186" s="79" t="s">
        <v>143</v>
      </c>
      <c r="R186" s="79"/>
      <c r="S186" s="79"/>
      <c r="T186" s="79"/>
      <c r="U186" s="79"/>
      <c r="V186" s="79"/>
      <c r="W186" s="79"/>
      <c r="X186" s="66"/>
      <c r="Y186" s="79"/>
    </row>
    <row r="187" spans="6:25" ht="34.5" x14ac:dyDescent="0.25">
      <c r="F187" s="66" t="s">
        <v>395</v>
      </c>
      <c r="G187" s="66" t="s">
        <v>729</v>
      </c>
      <c r="H187" s="66"/>
      <c r="I187" s="66" t="s">
        <v>809</v>
      </c>
      <c r="J187" s="66"/>
      <c r="K187" s="66" t="s">
        <v>376</v>
      </c>
      <c r="L187" s="66" t="s">
        <v>218</v>
      </c>
      <c r="M187" s="66" t="s">
        <v>863</v>
      </c>
      <c r="N187" s="66"/>
      <c r="O187" s="66"/>
      <c r="P187" s="78">
        <v>400000</v>
      </c>
      <c r="Q187" s="79" t="s">
        <v>124</v>
      </c>
      <c r="R187" s="79"/>
      <c r="S187" s="79"/>
      <c r="T187" s="79"/>
      <c r="U187" s="79" t="s">
        <v>119</v>
      </c>
      <c r="V187" s="79"/>
      <c r="W187" s="79"/>
      <c r="X187" s="66"/>
      <c r="Y187" s="79"/>
    </row>
    <row r="188" spans="6:25" ht="34.5" x14ac:dyDescent="0.25">
      <c r="F188" s="66" t="s">
        <v>396</v>
      </c>
      <c r="G188" s="66" t="s">
        <v>730</v>
      </c>
      <c r="H188" s="66"/>
      <c r="I188" s="66" t="s">
        <v>809</v>
      </c>
      <c r="J188" s="66"/>
      <c r="K188" s="66" t="s">
        <v>376</v>
      </c>
      <c r="L188" s="66" t="s">
        <v>218</v>
      </c>
      <c r="M188" s="66" t="s">
        <v>863</v>
      </c>
      <c r="N188" s="66"/>
      <c r="O188" s="66"/>
      <c r="P188" s="78">
        <v>400000</v>
      </c>
      <c r="Q188" s="79" t="s">
        <v>124</v>
      </c>
      <c r="R188" s="79"/>
      <c r="S188" s="79"/>
      <c r="T188" s="79"/>
      <c r="U188" s="79" t="s">
        <v>119</v>
      </c>
      <c r="V188" s="79"/>
      <c r="W188" s="79"/>
      <c r="X188" s="66"/>
      <c r="Y188" s="79"/>
    </row>
    <row r="189" spans="6:25" ht="34.5" x14ac:dyDescent="0.25">
      <c r="F189" s="66" t="s">
        <v>398</v>
      </c>
      <c r="G189" s="66" t="s">
        <v>731</v>
      </c>
      <c r="H189" s="66"/>
      <c r="I189" s="66" t="s">
        <v>809</v>
      </c>
      <c r="J189" s="66"/>
      <c r="K189" s="66" t="s">
        <v>376</v>
      </c>
      <c r="L189" s="66" t="s">
        <v>218</v>
      </c>
      <c r="M189" s="66" t="s">
        <v>863</v>
      </c>
      <c r="N189" s="66"/>
      <c r="O189" s="66"/>
      <c r="P189" s="78">
        <v>400000</v>
      </c>
      <c r="Q189" s="79" t="s">
        <v>124</v>
      </c>
      <c r="R189" s="79"/>
      <c r="S189" s="79"/>
      <c r="T189" s="79"/>
      <c r="U189" s="79" t="s">
        <v>119</v>
      </c>
      <c r="V189" s="79"/>
      <c r="W189" s="79"/>
      <c r="X189" s="66"/>
      <c r="Y189" s="79"/>
    </row>
    <row r="190" spans="6:25" ht="34.5" x14ac:dyDescent="0.25">
      <c r="F190" s="66" t="s">
        <v>400</v>
      </c>
      <c r="G190" s="66" t="s">
        <v>732</v>
      </c>
      <c r="H190" s="66"/>
      <c r="I190" s="66" t="s">
        <v>809</v>
      </c>
      <c r="J190" s="66"/>
      <c r="K190" s="66" t="s">
        <v>376</v>
      </c>
      <c r="L190" s="66" t="s">
        <v>218</v>
      </c>
      <c r="M190" s="66" t="s">
        <v>863</v>
      </c>
      <c r="N190" s="66"/>
      <c r="O190" s="66"/>
      <c r="P190" s="78">
        <v>400000</v>
      </c>
      <c r="Q190" s="79" t="s">
        <v>124</v>
      </c>
      <c r="R190" s="79"/>
      <c r="S190" s="79"/>
      <c r="T190" s="79"/>
      <c r="U190" s="79" t="s">
        <v>119</v>
      </c>
      <c r="V190" s="79"/>
      <c r="W190" s="79"/>
      <c r="X190" s="66"/>
      <c r="Y190" s="79"/>
    </row>
    <row r="191" spans="6:25" ht="103.5" x14ac:dyDescent="0.25">
      <c r="F191" s="66" t="s">
        <v>401</v>
      </c>
      <c r="G191" s="66" t="s">
        <v>733</v>
      </c>
      <c r="H191" s="66" t="s">
        <v>127</v>
      </c>
      <c r="I191" s="66" t="s">
        <v>402</v>
      </c>
      <c r="J191" s="66" t="s">
        <v>827</v>
      </c>
      <c r="K191" s="66" t="s">
        <v>403</v>
      </c>
      <c r="L191" s="71" t="s">
        <v>161</v>
      </c>
      <c r="M191" s="66"/>
      <c r="N191" s="66"/>
      <c r="O191" s="66"/>
      <c r="P191" s="78">
        <v>3600000</v>
      </c>
      <c r="Q191" s="79" t="s">
        <v>143</v>
      </c>
      <c r="R191" s="79" t="s">
        <v>119</v>
      </c>
      <c r="S191" s="80" t="s">
        <v>119</v>
      </c>
      <c r="T191" s="79"/>
      <c r="U191" s="79"/>
      <c r="V191" s="79"/>
      <c r="W191" s="79"/>
      <c r="X191" s="66"/>
      <c r="Y191" s="79"/>
    </row>
    <row r="192" spans="6:25" ht="23" x14ac:dyDescent="0.25">
      <c r="F192" s="66" t="s">
        <v>404</v>
      </c>
      <c r="G192" s="66" t="s">
        <v>406</v>
      </c>
      <c r="H192" s="66"/>
      <c r="I192" s="66" t="s">
        <v>115</v>
      </c>
      <c r="J192" s="66"/>
      <c r="K192" s="66" t="s">
        <v>403</v>
      </c>
      <c r="L192" s="71" t="s">
        <v>161</v>
      </c>
      <c r="M192" s="66" t="s">
        <v>142</v>
      </c>
      <c r="N192" s="66"/>
      <c r="O192" s="66"/>
      <c r="P192" s="78">
        <v>400000</v>
      </c>
      <c r="Q192" s="79" t="s">
        <v>124</v>
      </c>
      <c r="R192" s="79"/>
      <c r="S192" s="79"/>
      <c r="T192" s="79"/>
      <c r="U192" s="79" t="s">
        <v>119</v>
      </c>
      <c r="V192" s="79"/>
      <c r="W192" s="79"/>
      <c r="X192" s="66"/>
      <c r="Y192" s="79"/>
    </row>
    <row r="193" spans="6:25" ht="46" x14ac:dyDescent="0.25">
      <c r="F193" s="66" t="s">
        <v>405</v>
      </c>
      <c r="G193" s="66" t="s">
        <v>114</v>
      </c>
      <c r="H193" s="66"/>
      <c r="I193" s="66" t="s">
        <v>407</v>
      </c>
      <c r="J193" s="66"/>
      <c r="K193" s="66" t="s">
        <v>403</v>
      </c>
      <c r="L193" s="71" t="s">
        <v>161</v>
      </c>
      <c r="M193" s="66" t="s">
        <v>863</v>
      </c>
      <c r="N193" s="66"/>
      <c r="O193" s="66"/>
      <c r="P193" s="78">
        <v>50000</v>
      </c>
      <c r="Q193" s="79" t="s">
        <v>118</v>
      </c>
      <c r="R193" s="79"/>
      <c r="S193" s="79"/>
      <c r="T193" s="79"/>
      <c r="U193" s="79"/>
      <c r="V193" s="79" t="s">
        <v>119</v>
      </c>
      <c r="W193" s="79"/>
      <c r="X193" s="66"/>
      <c r="Y193" s="79"/>
    </row>
    <row r="194" spans="6:25" ht="46" x14ac:dyDescent="0.25">
      <c r="F194" s="66" t="s">
        <v>626</v>
      </c>
      <c r="G194" s="66" t="s">
        <v>734</v>
      </c>
      <c r="H194" s="66" t="s">
        <v>127</v>
      </c>
      <c r="I194" s="66" t="s">
        <v>828</v>
      </c>
      <c r="J194" s="66"/>
      <c r="K194" s="66" t="s">
        <v>875</v>
      </c>
      <c r="L194" s="71" t="s">
        <v>161</v>
      </c>
      <c r="M194" s="66"/>
      <c r="N194" s="66"/>
      <c r="O194" s="66"/>
      <c r="P194" s="78">
        <v>540000</v>
      </c>
      <c r="Q194" s="79" t="s">
        <v>124</v>
      </c>
      <c r="R194" s="79"/>
      <c r="S194" s="79" t="s">
        <v>119</v>
      </c>
      <c r="T194" s="79"/>
      <c r="U194" s="79"/>
      <c r="V194" s="79"/>
      <c r="W194" s="79"/>
      <c r="X194" s="66"/>
      <c r="Y194" s="79"/>
    </row>
    <row r="195" spans="6:25" ht="46" x14ac:dyDescent="0.25">
      <c r="F195" s="66" t="s">
        <v>627</v>
      </c>
      <c r="G195" s="66" t="s">
        <v>735</v>
      </c>
      <c r="H195" s="66" t="s">
        <v>829</v>
      </c>
      <c r="I195" s="66" t="s">
        <v>828</v>
      </c>
      <c r="J195" s="66" t="s">
        <v>830</v>
      </c>
      <c r="K195" s="66" t="s">
        <v>875</v>
      </c>
      <c r="L195" s="71" t="s">
        <v>161</v>
      </c>
      <c r="M195" s="66"/>
      <c r="N195" s="66"/>
      <c r="O195" s="66"/>
      <c r="P195" s="78">
        <v>1600000</v>
      </c>
      <c r="Q195" s="79" t="s">
        <v>143</v>
      </c>
      <c r="R195" s="79"/>
      <c r="S195" s="79" t="s">
        <v>119</v>
      </c>
      <c r="T195" s="79"/>
      <c r="U195" s="79"/>
      <c r="V195" s="79"/>
      <c r="W195" s="79"/>
      <c r="X195" s="66"/>
      <c r="Y195" s="79" t="s">
        <v>119</v>
      </c>
    </row>
    <row r="196" spans="6:25" ht="46" x14ac:dyDescent="0.25">
      <c r="F196" s="66" t="s">
        <v>628</v>
      </c>
      <c r="G196" s="66" t="s">
        <v>736</v>
      </c>
      <c r="H196" s="66" t="s">
        <v>127</v>
      </c>
      <c r="I196" s="66" t="s">
        <v>828</v>
      </c>
      <c r="J196" s="66"/>
      <c r="K196" s="66" t="s">
        <v>875</v>
      </c>
      <c r="L196" s="71" t="s">
        <v>161</v>
      </c>
      <c r="M196" s="66"/>
      <c r="N196" s="66"/>
      <c r="O196" s="66"/>
      <c r="P196" s="78">
        <v>1300000</v>
      </c>
      <c r="Q196" s="79" t="s">
        <v>143</v>
      </c>
      <c r="R196" s="79"/>
      <c r="S196" s="79" t="s">
        <v>119</v>
      </c>
      <c r="T196" s="79"/>
      <c r="U196" s="79"/>
      <c r="V196" s="79"/>
      <c r="W196" s="79"/>
      <c r="X196" s="66"/>
      <c r="Y196" s="79"/>
    </row>
    <row r="197" spans="6:25" ht="92" x14ac:dyDescent="0.25">
      <c r="F197" s="66" t="s">
        <v>629</v>
      </c>
      <c r="G197" s="66" t="s">
        <v>737</v>
      </c>
      <c r="H197" s="66" t="s">
        <v>127</v>
      </c>
      <c r="I197" s="66" t="s">
        <v>831</v>
      </c>
      <c r="J197" s="66" t="s">
        <v>832</v>
      </c>
      <c r="K197" s="66" t="s">
        <v>875</v>
      </c>
      <c r="L197" s="71" t="s">
        <v>161</v>
      </c>
      <c r="M197" s="66" t="s">
        <v>148</v>
      </c>
      <c r="N197" s="66"/>
      <c r="O197" s="66"/>
      <c r="P197" s="78">
        <v>170000</v>
      </c>
      <c r="Q197" s="79" t="s">
        <v>143</v>
      </c>
      <c r="R197" s="79"/>
      <c r="S197" s="79" t="s">
        <v>119</v>
      </c>
      <c r="T197" s="79"/>
      <c r="U197" s="79"/>
      <c r="V197" s="79"/>
      <c r="W197" s="79"/>
      <c r="X197" s="66"/>
      <c r="Y197" s="79"/>
    </row>
    <row r="198" spans="6:25" ht="115" x14ac:dyDescent="0.25">
      <c r="F198" s="66" t="s">
        <v>408</v>
      </c>
      <c r="G198" s="66" t="s">
        <v>738</v>
      </c>
      <c r="H198" s="66" t="s">
        <v>745</v>
      </c>
      <c r="I198" s="66" t="s">
        <v>833</v>
      </c>
      <c r="J198" s="66" t="s">
        <v>834</v>
      </c>
      <c r="K198" s="66" t="s">
        <v>409</v>
      </c>
      <c r="L198" s="66" t="s">
        <v>131</v>
      </c>
      <c r="M198" s="66" t="s">
        <v>876</v>
      </c>
      <c r="N198" s="66" t="s">
        <v>924</v>
      </c>
      <c r="O198" s="66"/>
      <c r="P198" s="78">
        <v>1700000</v>
      </c>
      <c r="Q198" s="79" t="s">
        <v>143</v>
      </c>
      <c r="R198" s="79"/>
      <c r="S198" s="79"/>
      <c r="T198" s="79"/>
      <c r="U198" s="80" t="s">
        <v>119</v>
      </c>
      <c r="V198" s="79"/>
      <c r="W198" s="79"/>
      <c r="X198" s="66"/>
      <c r="Y198" s="79" t="s">
        <v>119</v>
      </c>
    </row>
    <row r="199" spans="6:25" ht="126.5" x14ac:dyDescent="0.25">
      <c r="F199" s="66" t="s">
        <v>410</v>
      </c>
      <c r="G199" s="67" t="s">
        <v>739</v>
      </c>
      <c r="H199" s="66" t="s">
        <v>411</v>
      </c>
      <c r="I199" s="66" t="s">
        <v>835</v>
      </c>
      <c r="J199" s="66" t="s">
        <v>836</v>
      </c>
      <c r="K199" s="66" t="s">
        <v>409</v>
      </c>
      <c r="L199" s="66" t="s">
        <v>131</v>
      </c>
      <c r="M199" s="66" t="s">
        <v>148</v>
      </c>
      <c r="N199" s="66"/>
      <c r="O199" s="66"/>
      <c r="P199" s="78">
        <v>360000</v>
      </c>
      <c r="Q199" s="79" t="s">
        <v>124</v>
      </c>
      <c r="R199" s="79"/>
      <c r="S199" s="79"/>
      <c r="T199" s="80" t="s">
        <v>119</v>
      </c>
      <c r="U199" s="79"/>
      <c r="V199" s="79"/>
      <c r="W199" s="87"/>
      <c r="X199" s="66"/>
      <c r="Y199" s="79"/>
    </row>
    <row r="200" spans="6:25" ht="253" x14ac:dyDescent="0.25">
      <c r="F200" s="66" t="s">
        <v>412</v>
      </c>
      <c r="G200" s="66" t="s">
        <v>740</v>
      </c>
      <c r="H200" s="66"/>
      <c r="I200" s="66" t="s">
        <v>837</v>
      </c>
      <c r="J200" s="66" t="s">
        <v>838</v>
      </c>
      <c r="K200" s="66" t="s">
        <v>409</v>
      </c>
      <c r="L200" s="66" t="s">
        <v>131</v>
      </c>
      <c r="M200" s="66" t="s">
        <v>285</v>
      </c>
      <c r="N200" s="66"/>
      <c r="O200" s="66"/>
      <c r="P200" s="78">
        <v>150000</v>
      </c>
      <c r="Q200" s="79" t="s">
        <v>121</v>
      </c>
      <c r="R200" s="79"/>
      <c r="S200" s="79"/>
      <c r="T200" s="79" t="s">
        <v>119</v>
      </c>
      <c r="U200" s="79"/>
      <c r="V200" s="79"/>
      <c r="W200" s="79"/>
      <c r="X200" s="66"/>
      <c r="Y200" s="79"/>
    </row>
    <row r="201" spans="6:25" ht="69" x14ac:dyDescent="0.25">
      <c r="F201" s="66" t="s">
        <v>413</v>
      </c>
      <c r="G201" s="66" t="s">
        <v>414</v>
      </c>
      <c r="H201" s="66"/>
      <c r="I201" s="66" t="s">
        <v>115</v>
      </c>
      <c r="J201" s="66" t="s">
        <v>839</v>
      </c>
      <c r="K201" s="66" t="s">
        <v>409</v>
      </c>
      <c r="L201" s="66" t="s">
        <v>131</v>
      </c>
      <c r="M201" s="66" t="s">
        <v>285</v>
      </c>
      <c r="N201" s="66"/>
      <c r="O201" s="66"/>
      <c r="P201" s="78">
        <v>240000</v>
      </c>
      <c r="Q201" s="79" t="s">
        <v>121</v>
      </c>
      <c r="R201" s="79"/>
      <c r="S201" s="79"/>
      <c r="T201" s="79" t="s">
        <v>119</v>
      </c>
      <c r="U201" s="79"/>
      <c r="V201" s="79"/>
      <c r="W201" s="79"/>
      <c r="X201" s="66"/>
      <c r="Y201" s="79"/>
    </row>
    <row r="202" spans="6:25" ht="46" x14ac:dyDescent="0.25">
      <c r="F202" s="66" t="s">
        <v>415</v>
      </c>
      <c r="G202" s="66" t="s">
        <v>416</v>
      </c>
      <c r="H202" s="66"/>
      <c r="I202" s="66" t="s">
        <v>225</v>
      </c>
      <c r="J202" s="66"/>
      <c r="K202" s="66" t="s">
        <v>409</v>
      </c>
      <c r="L202" s="66" t="s">
        <v>131</v>
      </c>
      <c r="M202" s="66" t="s">
        <v>285</v>
      </c>
      <c r="N202" s="66"/>
      <c r="O202" s="66"/>
      <c r="P202" s="78">
        <v>2200000</v>
      </c>
      <c r="Q202" s="79" t="s">
        <v>143</v>
      </c>
      <c r="R202" s="79"/>
      <c r="S202" s="79"/>
      <c r="T202" s="79" t="s">
        <v>119</v>
      </c>
      <c r="U202" s="79"/>
      <c r="V202" s="79"/>
      <c r="W202" s="79"/>
      <c r="X202" s="66"/>
      <c r="Y202" s="79"/>
    </row>
    <row r="203" spans="6:25" ht="80.5" x14ac:dyDescent="0.25">
      <c r="F203" s="66" t="s">
        <v>417</v>
      </c>
      <c r="G203" s="66" t="s">
        <v>114</v>
      </c>
      <c r="H203" s="66"/>
      <c r="I203" s="66" t="s">
        <v>840</v>
      </c>
      <c r="J203" s="66"/>
      <c r="K203" s="66" t="s">
        <v>409</v>
      </c>
      <c r="L203" s="66" t="s">
        <v>279</v>
      </c>
      <c r="M203" s="66" t="s">
        <v>877</v>
      </c>
      <c r="N203" s="66"/>
      <c r="O203" s="66"/>
      <c r="P203" s="78">
        <v>75000</v>
      </c>
      <c r="Q203" s="79" t="s">
        <v>121</v>
      </c>
      <c r="R203" s="79"/>
      <c r="S203" s="79"/>
      <c r="T203" s="79"/>
      <c r="U203" s="79"/>
      <c r="V203" s="79" t="s">
        <v>119</v>
      </c>
      <c r="W203" s="79"/>
      <c r="X203" s="66"/>
      <c r="Y203" s="79"/>
    </row>
    <row r="204" spans="6:25" ht="138" x14ac:dyDescent="0.25">
      <c r="F204" s="66" t="s">
        <v>630</v>
      </c>
      <c r="G204" s="66" t="s">
        <v>419</v>
      </c>
      <c r="H204" s="66"/>
      <c r="I204" s="66" t="s">
        <v>115</v>
      </c>
      <c r="J204" s="66" t="s">
        <v>841</v>
      </c>
      <c r="K204" s="66" t="s">
        <v>409</v>
      </c>
      <c r="L204" s="66" t="s">
        <v>184</v>
      </c>
      <c r="M204" s="66" t="s">
        <v>878</v>
      </c>
      <c r="N204" s="66"/>
      <c r="O204" s="66"/>
      <c r="P204" s="78">
        <v>2400000</v>
      </c>
      <c r="Q204" s="84" t="s">
        <v>143</v>
      </c>
      <c r="R204" s="79"/>
      <c r="S204" s="79" t="s">
        <v>119</v>
      </c>
      <c r="T204" s="79"/>
      <c r="U204" s="79"/>
      <c r="V204" s="79"/>
      <c r="W204" s="79"/>
      <c r="X204" s="66"/>
      <c r="Y204" s="79"/>
    </row>
    <row r="205" spans="6:25" ht="69" x14ac:dyDescent="0.25">
      <c r="F205" s="66" t="s">
        <v>418</v>
      </c>
      <c r="G205" s="66" t="s">
        <v>741</v>
      </c>
      <c r="H205" s="66"/>
      <c r="I205" s="66" t="s">
        <v>287</v>
      </c>
      <c r="J205" s="66" t="s">
        <v>842</v>
      </c>
      <c r="K205" s="66" t="s">
        <v>409</v>
      </c>
      <c r="L205" s="66" t="s">
        <v>131</v>
      </c>
      <c r="M205" s="66" t="s">
        <v>878</v>
      </c>
      <c r="N205" s="66"/>
      <c r="O205" s="66"/>
      <c r="P205" s="78">
        <v>1700000</v>
      </c>
      <c r="Q205" s="84" t="s">
        <v>143</v>
      </c>
      <c r="R205" s="79"/>
      <c r="S205" s="79"/>
      <c r="T205" s="79"/>
      <c r="U205" s="79" t="s">
        <v>119</v>
      </c>
      <c r="V205" s="79"/>
      <c r="W205" s="79"/>
      <c r="X205" s="66"/>
      <c r="Y205" s="79"/>
    </row>
    <row r="206" spans="6:25" ht="172.5" x14ac:dyDescent="0.25">
      <c r="F206" s="66" t="s">
        <v>420</v>
      </c>
      <c r="G206" s="66" t="s">
        <v>742</v>
      </c>
      <c r="H206" s="66"/>
      <c r="I206" s="66" t="s">
        <v>287</v>
      </c>
      <c r="J206" s="66" t="s">
        <v>843</v>
      </c>
      <c r="K206" s="66" t="s">
        <v>409</v>
      </c>
      <c r="L206" s="66" t="s">
        <v>131</v>
      </c>
      <c r="M206" s="66" t="s">
        <v>878</v>
      </c>
      <c r="N206" s="66"/>
      <c r="O206" s="66"/>
      <c r="P206" s="78">
        <v>1700000</v>
      </c>
      <c r="Q206" s="84" t="s">
        <v>143</v>
      </c>
      <c r="R206" s="79"/>
      <c r="S206" s="79"/>
      <c r="T206" s="79"/>
      <c r="U206" s="79" t="s">
        <v>119</v>
      </c>
      <c r="V206" s="79"/>
      <c r="W206" s="79"/>
      <c r="X206" s="66"/>
      <c r="Y206" s="79"/>
    </row>
    <row r="207" spans="6:25" ht="390" x14ac:dyDescent="0.25">
      <c r="F207" s="66" t="s">
        <v>421</v>
      </c>
      <c r="G207" s="66" t="s">
        <v>422</v>
      </c>
      <c r="H207" s="66" t="s">
        <v>127</v>
      </c>
      <c r="I207" s="66" t="s">
        <v>423</v>
      </c>
      <c r="J207" s="73" t="s">
        <v>844</v>
      </c>
      <c r="K207" s="66" t="s">
        <v>424</v>
      </c>
      <c r="L207" s="66" t="s">
        <v>117</v>
      </c>
      <c r="M207" s="66" t="s">
        <v>285</v>
      </c>
      <c r="N207" s="66"/>
      <c r="O207" s="66"/>
      <c r="P207" s="78">
        <v>660000</v>
      </c>
      <c r="Q207" s="79" t="s">
        <v>124</v>
      </c>
      <c r="R207" s="79"/>
      <c r="S207" s="80" t="s">
        <v>119</v>
      </c>
      <c r="T207" s="79"/>
      <c r="U207" s="79"/>
      <c r="V207" s="79"/>
      <c r="W207" s="79"/>
      <c r="X207" s="66"/>
      <c r="Y207" s="79"/>
    </row>
    <row r="208" spans="6:25" ht="46" x14ac:dyDescent="0.25">
      <c r="F208" s="66" t="s">
        <v>425</v>
      </c>
      <c r="G208" s="66" t="s">
        <v>150</v>
      </c>
      <c r="H208" s="66"/>
      <c r="I208" s="66" t="s">
        <v>115</v>
      </c>
      <c r="J208" s="66"/>
      <c r="K208" s="66" t="s">
        <v>424</v>
      </c>
      <c r="L208" s="66" t="s">
        <v>117</v>
      </c>
      <c r="M208" s="66" t="s">
        <v>275</v>
      </c>
      <c r="N208" s="66"/>
      <c r="O208" s="66"/>
      <c r="P208" s="78">
        <v>50000</v>
      </c>
      <c r="Q208" s="79" t="s">
        <v>118</v>
      </c>
      <c r="R208" s="79"/>
      <c r="S208" s="79"/>
      <c r="T208" s="79"/>
      <c r="U208" s="79"/>
      <c r="V208" s="79" t="s">
        <v>119</v>
      </c>
      <c r="W208" s="79"/>
      <c r="X208" s="66"/>
      <c r="Y208" s="79"/>
    </row>
    <row r="209" spans="6:25" ht="69" x14ac:dyDescent="0.25">
      <c r="F209" s="66" t="s">
        <v>426</v>
      </c>
      <c r="G209" s="66" t="s">
        <v>743</v>
      </c>
      <c r="H209" s="66"/>
      <c r="I209" s="66" t="s">
        <v>115</v>
      </c>
      <c r="J209" s="66"/>
      <c r="K209" s="66" t="s">
        <v>424</v>
      </c>
      <c r="L209" s="66" t="s">
        <v>117</v>
      </c>
      <c r="M209" s="66" t="s">
        <v>142</v>
      </c>
      <c r="N209" s="66"/>
      <c r="O209" s="66"/>
      <c r="P209" s="78">
        <v>400000</v>
      </c>
      <c r="Q209" s="79" t="s">
        <v>118</v>
      </c>
      <c r="R209" s="79"/>
      <c r="S209" s="79"/>
      <c r="T209" s="79"/>
      <c r="U209" s="79" t="s">
        <v>119</v>
      </c>
      <c r="V209" s="79"/>
      <c r="W209" s="79"/>
      <c r="X209" s="66"/>
      <c r="Y209" s="79"/>
    </row>
    <row r="210" spans="6:25" ht="57.5" x14ac:dyDescent="0.25">
      <c r="F210" s="66" t="s">
        <v>427</v>
      </c>
      <c r="G210" s="66" t="s">
        <v>428</v>
      </c>
      <c r="H210" s="66" t="s">
        <v>127</v>
      </c>
      <c r="I210" s="66" t="s">
        <v>115</v>
      </c>
      <c r="J210" s="66" t="s">
        <v>845</v>
      </c>
      <c r="K210" s="66" t="s">
        <v>424</v>
      </c>
      <c r="L210" s="66" t="s">
        <v>117</v>
      </c>
      <c r="M210" s="66" t="s">
        <v>879</v>
      </c>
      <c r="N210" s="66" t="s">
        <v>918</v>
      </c>
      <c r="O210" s="66" t="s">
        <v>916</v>
      </c>
      <c r="P210" s="78">
        <v>400000</v>
      </c>
      <c r="Q210" s="79" t="s">
        <v>118</v>
      </c>
      <c r="R210" s="79"/>
      <c r="S210" s="79"/>
      <c r="T210" s="79"/>
      <c r="U210" s="79" t="s">
        <v>119</v>
      </c>
      <c r="V210" s="79"/>
      <c r="W210" s="79"/>
      <c r="X210" s="66"/>
      <c r="Y210" s="79"/>
    </row>
    <row r="211" spans="6:25" ht="46" x14ac:dyDescent="0.25">
      <c r="F211" s="66" t="s">
        <v>631</v>
      </c>
      <c r="G211" s="66" t="s">
        <v>744</v>
      </c>
      <c r="H211" s="66" t="s">
        <v>127</v>
      </c>
      <c r="I211" s="66" t="s">
        <v>117</v>
      </c>
      <c r="J211" s="66"/>
      <c r="K211" s="66" t="s">
        <v>424</v>
      </c>
      <c r="L211" s="66" t="s">
        <v>117</v>
      </c>
      <c r="M211" s="66" t="s">
        <v>879</v>
      </c>
      <c r="N211" s="66" t="s">
        <v>918</v>
      </c>
      <c r="O211" s="66" t="s">
        <v>916</v>
      </c>
      <c r="P211" s="78">
        <v>2200000</v>
      </c>
      <c r="Q211" s="79" t="s">
        <v>143</v>
      </c>
      <c r="R211" s="79"/>
      <c r="S211" s="79"/>
      <c r="T211" s="79" t="s">
        <v>119</v>
      </c>
      <c r="U211" s="79"/>
      <c r="V211" s="79"/>
      <c r="W211" s="79"/>
      <c r="X211" s="66"/>
      <c r="Y211" s="79"/>
    </row>
    <row r="212" spans="6:25" ht="11.5" x14ac:dyDescent="0.25">
      <c r="F212" s="69"/>
      <c r="G212" s="70"/>
      <c r="H212" s="70"/>
      <c r="I212" s="70"/>
      <c r="J212" s="70"/>
      <c r="K212" s="70"/>
      <c r="L212" s="70"/>
      <c r="M212" s="70"/>
      <c r="N212" s="70"/>
      <c r="O212" s="70"/>
      <c r="P212" s="88">
        <f>SUM(P20:P211)</f>
        <v>189795000</v>
      </c>
      <c r="Q212" s="70"/>
      <c r="R212" s="87"/>
      <c r="S212" s="87"/>
      <c r="T212" s="87"/>
      <c r="U212" s="87"/>
      <c r="V212" s="87"/>
      <c r="W212" s="87"/>
      <c r="X212" s="70"/>
      <c r="Y212" s="87"/>
    </row>
    <row r="213" spans="6:25" ht="11.5" x14ac:dyDescent="0.25">
      <c r="F213" s="69"/>
      <c r="G213" s="70"/>
      <c r="H213" s="70"/>
      <c r="I213" s="70"/>
      <c r="J213" s="70"/>
      <c r="K213" s="70"/>
      <c r="L213" s="70"/>
      <c r="M213" s="70"/>
      <c r="N213" s="70"/>
      <c r="O213" s="70"/>
      <c r="P213" s="89">
        <f>SUBTOTAL(9,P38:P198)</f>
        <v>169510000</v>
      </c>
      <c r="Q213" s="70"/>
      <c r="R213" s="87"/>
      <c r="S213" s="87"/>
      <c r="T213" s="87"/>
      <c r="U213" s="87"/>
      <c r="V213" s="87"/>
      <c r="W213" s="87"/>
      <c r="X213" s="70"/>
      <c r="Y213" s="87"/>
    </row>
  </sheetData>
  <mergeCells count="4">
    <mergeCell ref="F16:Y16"/>
    <mergeCell ref="F17:J17"/>
    <mergeCell ref="K17:Y17"/>
    <mergeCell ref="F19:Y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29DFD-59E8-46E8-A106-9D03F09186D4}">
  <sheetPr>
    <pageSetUpPr autoPageBreaks="0"/>
  </sheetPr>
  <dimension ref="A1:H9"/>
  <sheetViews>
    <sheetView showGridLines="0" workbookViewId="0">
      <selection activeCell="G24" sqref="G24"/>
    </sheetView>
  </sheetViews>
  <sheetFormatPr defaultColWidth="9.375" defaultRowHeight="10.5" outlineLevelCol="1" x14ac:dyDescent="0.25"/>
  <cols>
    <col min="1" max="1" width="2.875" style="12" customWidth="1"/>
    <col min="2" max="3" width="13.375" style="12" hidden="1" customWidth="1" outlineLevel="1"/>
    <col min="4" max="4" width="2.875" style="12" customWidth="1" collapsed="1"/>
    <col min="5" max="5" width="2.875" style="12" customWidth="1"/>
    <col min="6" max="6" width="50.875" style="12" customWidth="1"/>
    <col min="7" max="7" width="9.375" style="12" customWidth="1"/>
    <col min="8" max="42" width="14.875" style="12" customWidth="1"/>
    <col min="43" max="16384" width="9.375" style="12"/>
  </cols>
  <sheetData>
    <row r="1" spans="1:8" customFormat="1" ht="15.5" x14ac:dyDescent="0.25">
      <c r="A1" s="5" t="str">
        <f ca="1">MID(CELL("filename",A1),FIND("]",CELL("filename",A1))+1,255)</f>
        <v>OPEX_In</v>
      </c>
      <c r="E1" s="5"/>
    </row>
    <row r="2" spans="1:8" customFormat="1" ht="12" x14ac:dyDescent="0.3">
      <c r="B2" s="7" t="s">
        <v>1</v>
      </c>
      <c r="C2" s="7" t="s">
        <v>2</v>
      </c>
      <c r="D2" s="7" t="s">
        <v>51</v>
      </c>
      <c r="E2" s="7"/>
      <c r="F2" s="7"/>
      <c r="H2" s="8"/>
    </row>
    <row r="3" spans="1:8" s="13" customFormat="1" x14ac:dyDescent="0.25">
      <c r="A3" s="12"/>
      <c r="B3" s="12"/>
      <c r="C3" s="12"/>
    </row>
    <row r="5" spans="1:8" ht="11" thickBot="1" x14ac:dyDescent="0.3">
      <c r="D5" s="12" t="str">
        <f>""</f>
        <v/>
      </c>
      <c r="E5" s="1" t="s">
        <v>430</v>
      </c>
      <c r="F5" s="1"/>
    </row>
    <row r="6" spans="1:8" x14ac:dyDescent="0.25">
      <c r="D6" s="12" t="str">
        <f>""</f>
        <v/>
      </c>
    </row>
    <row r="7" spans="1:8" x14ac:dyDescent="0.25">
      <c r="F7" s="12" t="s">
        <v>593</v>
      </c>
      <c r="G7" s="11" t="s">
        <v>85</v>
      </c>
      <c r="H7" s="22">
        <f>CAPEX_In!H8</f>
        <v>189795000</v>
      </c>
    </row>
    <row r="8" spans="1:8" x14ac:dyDescent="0.25">
      <c r="C8" s="12" t="s">
        <v>432</v>
      </c>
      <c r="F8" s="12" t="s">
        <v>433</v>
      </c>
      <c r="G8" s="11" t="s">
        <v>37</v>
      </c>
      <c r="H8" s="14">
        <v>0.02</v>
      </c>
    </row>
    <row r="9" spans="1:8" x14ac:dyDescent="0.25">
      <c r="F9" s="12" t="s">
        <v>434</v>
      </c>
      <c r="G9" s="11" t="s">
        <v>85</v>
      </c>
      <c r="H9" s="22">
        <f>H7*H8</f>
        <v>3795900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0C8D0-E902-43A4-B492-87B8DAFEA270}">
  <sheetPr>
    <pageSetUpPr autoPageBreaks="0"/>
  </sheetPr>
  <dimension ref="A1:S96"/>
  <sheetViews>
    <sheetView showGridLines="0" workbookViewId="0">
      <selection activeCell="B9" sqref="B9"/>
    </sheetView>
  </sheetViews>
  <sheetFormatPr defaultColWidth="9.375" defaultRowHeight="10.5" outlineLevelCol="1" x14ac:dyDescent="0.25"/>
  <cols>
    <col min="1" max="1" width="2.875" style="12" customWidth="1"/>
    <col min="2" max="3" width="13.375" style="12" customWidth="1" outlineLevel="1"/>
    <col min="4" max="5" width="2.875" style="12" customWidth="1"/>
    <col min="6" max="6" width="50.875" style="12" customWidth="1"/>
    <col min="7" max="7" width="9.375" style="12" customWidth="1"/>
    <col min="8" max="8" width="14.875" style="12" customWidth="1"/>
    <col min="9" max="9" width="9.375" style="12" customWidth="1"/>
    <col min="10" max="13" width="2.875" style="12" hidden="1" customWidth="1" outlineLevel="1"/>
    <col min="14" max="14" width="14.875" style="12" customWidth="1" collapsed="1"/>
    <col min="15" max="48" width="14.875" style="12" customWidth="1"/>
    <col min="49" max="16384" width="9.375" style="12"/>
  </cols>
  <sheetData>
    <row r="1" spans="1:19" customFormat="1" ht="15.5" x14ac:dyDescent="0.25">
      <c r="A1" s="5" t="str">
        <f ca="1">MID(CELL("filename",A1),FIND("]",CELL("filename",A1))+1,255)</f>
        <v>Benefit_In</v>
      </c>
      <c r="E1" s="5"/>
    </row>
    <row r="2" spans="1:19" customFormat="1" ht="12" x14ac:dyDescent="0.3">
      <c r="B2" s="7" t="s">
        <v>1</v>
      </c>
      <c r="C2" s="7" t="s">
        <v>2</v>
      </c>
      <c r="D2" s="7"/>
      <c r="E2" s="7"/>
      <c r="F2" s="7"/>
      <c r="H2" s="8"/>
      <c r="I2" s="8"/>
      <c r="J2" s="8"/>
      <c r="K2" s="8"/>
      <c r="L2" s="8"/>
      <c r="M2" s="8"/>
    </row>
    <row r="3" spans="1:19" s="13" customFormat="1" x14ac:dyDescent="0.25">
      <c r="A3" s="12"/>
      <c r="B3" s="12"/>
      <c r="C3" s="12"/>
    </row>
    <row r="4" spans="1:19" x14ac:dyDescent="0.25">
      <c r="N4" s="12">
        <f>N8*0.015</f>
        <v>5605.92</v>
      </c>
    </row>
    <row r="5" spans="1:19" ht="11" thickBot="1" x14ac:dyDescent="0.3">
      <c r="B5" s="12" t="s">
        <v>525</v>
      </c>
      <c r="C5" s="12" t="s">
        <v>526</v>
      </c>
      <c r="E5" s="1" t="s">
        <v>450</v>
      </c>
      <c r="F5" s="1"/>
    </row>
    <row r="7" spans="1:19" x14ac:dyDescent="0.25">
      <c r="F7" s="45" t="s">
        <v>439</v>
      </c>
      <c r="N7" s="50">
        <v>2021</v>
      </c>
      <c r="O7" s="50">
        <v>2031</v>
      </c>
      <c r="P7" s="50">
        <v>2041</v>
      </c>
      <c r="Q7" s="50">
        <v>2051</v>
      </c>
    </row>
    <row r="8" spans="1:19" x14ac:dyDescent="0.25">
      <c r="F8" s="12" t="s">
        <v>444</v>
      </c>
      <c r="H8" s="11" t="s">
        <v>5</v>
      </c>
      <c r="N8" s="25">
        <v>373728</v>
      </c>
      <c r="O8" s="25">
        <v>431722</v>
      </c>
      <c r="P8" s="25">
        <v>489386</v>
      </c>
      <c r="Q8" s="25">
        <v>555823</v>
      </c>
      <c r="S8"/>
    </row>
    <row r="9" spans="1:19" x14ac:dyDescent="0.25">
      <c r="F9" s="12" t="s">
        <v>445</v>
      </c>
      <c r="H9" s="11" t="s">
        <v>5</v>
      </c>
      <c r="N9" s="25">
        <v>455604</v>
      </c>
      <c r="O9" s="25">
        <v>531493</v>
      </c>
      <c r="P9" s="25">
        <v>609849</v>
      </c>
      <c r="Q9" s="25">
        <v>695760</v>
      </c>
    </row>
    <row r="10" spans="1:19" x14ac:dyDescent="0.25">
      <c r="F10" s="12" t="s">
        <v>446</v>
      </c>
      <c r="H10" s="11" t="s">
        <v>5</v>
      </c>
      <c r="N10" s="25">
        <v>590005</v>
      </c>
      <c r="O10" s="25">
        <v>683673</v>
      </c>
      <c r="P10" s="25">
        <v>776656</v>
      </c>
      <c r="Q10" s="25">
        <v>885447</v>
      </c>
      <c r="S10" s="18"/>
    </row>
    <row r="11" spans="1:19" x14ac:dyDescent="0.25">
      <c r="F11" s="12" t="s">
        <v>447</v>
      </c>
      <c r="H11" s="11" t="s">
        <v>5</v>
      </c>
      <c r="N11" s="25">
        <v>667275</v>
      </c>
      <c r="O11" s="25">
        <v>774983</v>
      </c>
      <c r="P11" s="25">
        <v>884461</v>
      </c>
      <c r="Q11" s="25">
        <v>1007793</v>
      </c>
    </row>
    <row r="12" spans="1:19" x14ac:dyDescent="0.25">
      <c r="H12" s="11"/>
    </row>
    <row r="13" spans="1:19" x14ac:dyDescent="0.25">
      <c r="F13" s="12" t="s">
        <v>448</v>
      </c>
      <c r="H13" s="11" t="s">
        <v>37</v>
      </c>
      <c r="N13" s="40">
        <f>(N9-N8)/N8</f>
        <v>0.21907911636270228</v>
      </c>
      <c r="O13" s="40">
        <f t="shared" ref="O13:Q13" si="0">(O9-O8)/O8</f>
        <v>0.23110010608678733</v>
      </c>
      <c r="P13" s="40">
        <f t="shared" si="0"/>
        <v>0.24615129979198425</v>
      </c>
      <c r="Q13" s="40">
        <f t="shared" si="0"/>
        <v>0.25176540013637433</v>
      </c>
    </row>
    <row r="14" spans="1:19" x14ac:dyDescent="0.25">
      <c r="F14" s="12" t="s">
        <v>449</v>
      </c>
      <c r="H14" s="11" t="s">
        <v>37</v>
      </c>
      <c r="N14" s="40">
        <f>(N11-N10)/N10</f>
        <v>0.13096499182210319</v>
      </c>
      <c r="O14" s="40">
        <f t="shared" ref="O14:Q14" si="1">(O11-O10)/O10</f>
        <v>0.13355800214429997</v>
      </c>
      <c r="P14" s="40">
        <f t="shared" si="1"/>
        <v>0.13880662738715724</v>
      </c>
      <c r="Q14" s="40">
        <f t="shared" si="1"/>
        <v>0.13817427807649696</v>
      </c>
    </row>
    <row r="16" spans="1:19" ht="11" thickBot="1" x14ac:dyDescent="0.3">
      <c r="E16" s="1" t="s">
        <v>451</v>
      </c>
      <c r="F16" s="1"/>
    </row>
    <row r="18" spans="2:15" x14ac:dyDescent="0.25">
      <c r="F18" s="45" t="s">
        <v>499</v>
      </c>
      <c r="N18" s="60" t="s">
        <v>498</v>
      </c>
      <c r="O18" s="60"/>
    </row>
    <row r="19" spans="2:15" x14ac:dyDescent="0.25">
      <c r="F19" s="12" t="s">
        <v>479</v>
      </c>
      <c r="H19" s="11" t="s">
        <v>5</v>
      </c>
      <c r="N19" s="25"/>
    </row>
    <row r="20" spans="2:15" x14ac:dyDescent="0.25">
      <c r="F20" s="12" t="s">
        <v>480</v>
      </c>
      <c r="H20" s="11" t="s">
        <v>5</v>
      </c>
      <c r="N20" s="25"/>
    </row>
    <row r="21" spans="2:15" x14ac:dyDescent="0.25">
      <c r="F21" s="12" t="s">
        <v>481</v>
      </c>
      <c r="H21" s="11" t="s">
        <v>5</v>
      </c>
      <c r="N21" s="25"/>
    </row>
    <row r="22" spans="2:15" x14ac:dyDescent="0.25">
      <c r="F22" s="12" t="s">
        <v>482</v>
      </c>
      <c r="H22" s="11" t="s">
        <v>5</v>
      </c>
      <c r="N22" s="25"/>
    </row>
    <row r="23" spans="2:15" x14ac:dyDescent="0.25">
      <c r="B23" s="12" t="s">
        <v>451</v>
      </c>
      <c r="C23" s="12" t="s">
        <v>500</v>
      </c>
      <c r="F23" s="12" t="s">
        <v>483</v>
      </c>
      <c r="H23" s="11" t="s">
        <v>5</v>
      </c>
      <c r="N23" s="25">
        <v>663</v>
      </c>
    </row>
    <row r="24" spans="2:15" x14ac:dyDescent="0.25">
      <c r="F24" s="12" t="s">
        <v>484</v>
      </c>
      <c r="H24" s="11" t="s">
        <v>5</v>
      </c>
      <c r="N24" s="25"/>
    </row>
    <row r="25" spans="2:15" x14ac:dyDescent="0.25">
      <c r="F25" s="12" t="s">
        <v>485</v>
      </c>
      <c r="H25" s="11" t="s">
        <v>5</v>
      </c>
      <c r="N25" s="25"/>
    </row>
    <row r="26" spans="2:15" x14ac:dyDescent="0.25">
      <c r="F26" s="12" t="s">
        <v>486</v>
      </c>
      <c r="H26" s="11" t="s">
        <v>5</v>
      </c>
      <c r="N26" s="25"/>
    </row>
    <row r="27" spans="2:15" x14ac:dyDescent="0.25">
      <c r="F27" s="12" t="s">
        <v>487</v>
      </c>
      <c r="H27" s="11" t="s">
        <v>5</v>
      </c>
      <c r="N27" s="25"/>
    </row>
    <row r="28" spans="2:15" x14ac:dyDescent="0.25">
      <c r="F28" s="12" t="s">
        <v>488</v>
      </c>
      <c r="H28" s="11" t="s">
        <v>5</v>
      </c>
      <c r="N28" s="25"/>
    </row>
    <row r="29" spans="2:15" x14ac:dyDescent="0.25">
      <c r="B29" s="52" t="s">
        <v>562</v>
      </c>
      <c r="F29" s="12" t="s">
        <v>489</v>
      </c>
      <c r="H29" s="11" t="s">
        <v>5</v>
      </c>
      <c r="N29" s="25">
        <v>626</v>
      </c>
      <c r="O29" s="12" t="s">
        <v>563</v>
      </c>
    </row>
    <row r="30" spans="2:15" x14ac:dyDescent="0.25">
      <c r="F30" s="12" t="s">
        <v>490</v>
      </c>
      <c r="H30" s="11" t="s">
        <v>5</v>
      </c>
      <c r="N30" s="25"/>
    </row>
    <row r="31" spans="2:15" x14ac:dyDescent="0.25">
      <c r="B31" s="12" t="s">
        <v>562</v>
      </c>
      <c r="F31" s="12" t="s">
        <v>491</v>
      </c>
      <c r="H31" s="11" t="s">
        <v>5</v>
      </c>
      <c r="N31" s="25">
        <v>411</v>
      </c>
      <c r="O31" s="12" t="s">
        <v>563</v>
      </c>
    </row>
    <row r="32" spans="2:15" x14ac:dyDescent="0.25">
      <c r="F32" s="12" t="s">
        <v>492</v>
      </c>
      <c r="H32" s="11" t="s">
        <v>5</v>
      </c>
      <c r="N32" s="25"/>
    </row>
    <row r="33" spans="2:15" x14ac:dyDescent="0.25">
      <c r="F33" s="12" t="s">
        <v>493</v>
      </c>
      <c r="H33" s="11" t="s">
        <v>5</v>
      </c>
      <c r="N33" s="25"/>
    </row>
    <row r="34" spans="2:15" x14ac:dyDescent="0.25">
      <c r="F34" s="12" t="s">
        <v>494</v>
      </c>
      <c r="H34" s="11" t="s">
        <v>5</v>
      </c>
      <c r="N34" s="25"/>
    </row>
    <row r="35" spans="2:15" x14ac:dyDescent="0.25">
      <c r="B35" s="12" t="s">
        <v>451</v>
      </c>
      <c r="C35" s="12" t="s">
        <v>502</v>
      </c>
      <c r="F35" s="12" t="s">
        <v>495</v>
      </c>
      <c r="H35" s="11" t="s">
        <v>5</v>
      </c>
      <c r="N35" s="25">
        <v>2096</v>
      </c>
    </row>
    <row r="36" spans="2:15" x14ac:dyDescent="0.25">
      <c r="F36" s="12" t="s">
        <v>496</v>
      </c>
      <c r="H36" s="11" t="s">
        <v>5</v>
      </c>
      <c r="N36" s="25"/>
    </row>
    <row r="37" spans="2:15" x14ac:dyDescent="0.25">
      <c r="F37" s="12" t="s">
        <v>497</v>
      </c>
      <c r="H37" s="11" t="s">
        <v>5</v>
      </c>
      <c r="N37" s="25"/>
    </row>
    <row r="38" spans="2:15" x14ac:dyDescent="0.25">
      <c r="F38" s="45" t="s">
        <v>519</v>
      </c>
      <c r="G38" s="45"/>
      <c r="H38" s="11" t="s">
        <v>5</v>
      </c>
      <c r="I38" s="45"/>
      <c r="J38" s="45"/>
      <c r="K38" s="45"/>
      <c r="L38" s="45"/>
      <c r="M38" s="45"/>
      <c r="N38" s="56">
        <f>N8*0.025</f>
        <v>9343.2000000000007</v>
      </c>
      <c r="O38" s="12" t="s">
        <v>564</v>
      </c>
    </row>
    <row r="39" spans="2:15" x14ac:dyDescent="0.25">
      <c r="F39" s="45" t="s">
        <v>520</v>
      </c>
      <c r="G39" s="45"/>
      <c r="H39" s="11" t="s">
        <v>5</v>
      </c>
      <c r="I39" s="45"/>
      <c r="J39" s="45"/>
      <c r="K39" s="45"/>
      <c r="L39" s="45"/>
      <c r="M39" s="45"/>
      <c r="N39" s="56">
        <f>N38*365</f>
        <v>3410268.0000000005</v>
      </c>
    </row>
    <row r="40" spans="2:15" x14ac:dyDescent="0.25">
      <c r="F40" s="45"/>
      <c r="G40" s="45"/>
      <c r="H40" s="11"/>
      <c r="I40" s="45"/>
      <c r="J40" s="45"/>
      <c r="K40" s="45"/>
      <c r="L40" s="45"/>
      <c r="M40" s="45"/>
    </row>
    <row r="41" spans="2:15" x14ac:dyDescent="0.25">
      <c r="F41" s="45" t="s">
        <v>926</v>
      </c>
      <c r="G41" s="45"/>
      <c r="H41" s="11" t="s">
        <v>5</v>
      </c>
      <c r="I41" s="45"/>
      <c r="J41" s="45"/>
      <c r="K41" s="45"/>
      <c r="L41" s="45"/>
      <c r="M41" s="45"/>
      <c r="N41" s="14">
        <v>0.1215</v>
      </c>
    </row>
    <row r="42" spans="2:15" x14ac:dyDescent="0.25">
      <c r="F42" s="45" t="s">
        <v>927</v>
      </c>
      <c r="G42" s="45"/>
      <c r="H42" s="11"/>
      <c r="I42" s="45"/>
      <c r="J42" s="45"/>
      <c r="K42" s="45"/>
      <c r="L42" s="45"/>
      <c r="M42" s="45"/>
      <c r="N42" s="56">
        <f>N39*(1+N41)</f>
        <v>3824615.5620000004</v>
      </c>
    </row>
    <row r="44" spans="2:15" ht="11" thickBot="1" x14ac:dyDescent="0.3">
      <c r="E44" s="1" t="s">
        <v>452</v>
      </c>
      <c r="F44" s="1"/>
      <c r="H44" s="11"/>
    </row>
    <row r="45" spans="2:15" x14ac:dyDescent="0.25">
      <c r="B45" s="52" t="s">
        <v>552</v>
      </c>
      <c r="C45" s="12" t="s">
        <v>553</v>
      </c>
      <c r="H45" s="11"/>
    </row>
    <row r="46" spans="2:15" x14ac:dyDescent="0.25">
      <c r="F46" s="45" t="s">
        <v>477</v>
      </c>
      <c r="H46" s="11"/>
    </row>
    <row r="47" spans="2:15" x14ac:dyDescent="0.25">
      <c r="F47" s="12" t="s">
        <v>476</v>
      </c>
      <c r="H47" s="11" t="s">
        <v>37</v>
      </c>
      <c r="N47" s="14">
        <v>0.3967</v>
      </c>
    </row>
    <row r="48" spans="2:15" x14ac:dyDescent="0.25">
      <c r="F48" s="12" t="s">
        <v>475</v>
      </c>
      <c r="H48" s="11" t="s">
        <v>37</v>
      </c>
      <c r="N48" s="14">
        <v>8.2400000000000001E-2</v>
      </c>
    </row>
    <row r="49" spans="6:14" x14ac:dyDescent="0.25">
      <c r="F49" s="12" t="s">
        <v>469</v>
      </c>
      <c r="H49" s="11" t="s">
        <v>37</v>
      </c>
      <c r="N49" s="14">
        <v>0.52090000000000003</v>
      </c>
    </row>
    <row r="50" spans="6:14" x14ac:dyDescent="0.25">
      <c r="H50" s="11"/>
    </row>
    <row r="51" spans="6:14" x14ac:dyDescent="0.25">
      <c r="F51" s="45" t="s">
        <v>928</v>
      </c>
      <c r="H51" s="11"/>
    </row>
    <row r="52" spans="6:14" x14ac:dyDescent="0.25">
      <c r="F52" s="12" t="s">
        <v>560</v>
      </c>
      <c r="H52" s="11" t="s">
        <v>5</v>
      </c>
      <c r="N52" s="25">
        <v>113</v>
      </c>
    </row>
    <row r="53" spans="6:14" x14ac:dyDescent="0.25">
      <c r="F53" s="12" t="s">
        <v>478</v>
      </c>
      <c r="H53" s="11" t="s">
        <v>37</v>
      </c>
      <c r="N53" s="14">
        <v>0.53</v>
      </c>
    </row>
    <row r="54" spans="6:14" x14ac:dyDescent="0.25">
      <c r="F54" s="12" t="s">
        <v>501</v>
      </c>
      <c r="H54" s="11" t="s">
        <v>5</v>
      </c>
      <c r="N54" s="22">
        <f>N52*(1+N53)</f>
        <v>172.89000000000001</v>
      </c>
    </row>
    <row r="55" spans="6:14" x14ac:dyDescent="0.25">
      <c r="F55" s="12" t="s">
        <v>885</v>
      </c>
      <c r="H55" s="11" t="s">
        <v>5</v>
      </c>
      <c r="N55" s="22">
        <f>N52*(1+N41)</f>
        <v>126.72949999999999</v>
      </c>
    </row>
    <row r="56" spans="6:14" x14ac:dyDescent="0.25">
      <c r="H56" s="11"/>
    </row>
    <row r="57" spans="6:14" x14ac:dyDescent="0.25">
      <c r="F57" s="45" t="s">
        <v>542</v>
      </c>
      <c r="H57" s="11"/>
    </row>
    <row r="58" spans="6:14" x14ac:dyDescent="0.25">
      <c r="F58" s="12" t="s">
        <v>554</v>
      </c>
      <c r="H58" s="11" t="s">
        <v>37</v>
      </c>
      <c r="N58" s="59">
        <v>0.1439</v>
      </c>
    </row>
    <row r="59" spans="6:14" x14ac:dyDescent="0.25">
      <c r="F59" s="12" t="s">
        <v>555</v>
      </c>
      <c r="H59" s="11" t="s">
        <v>37</v>
      </c>
      <c r="N59" s="59">
        <v>0.85609999999999997</v>
      </c>
    </row>
    <row r="60" spans="6:14" x14ac:dyDescent="0.25">
      <c r="H60" s="11"/>
    </row>
    <row r="61" spans="6:14" x14ac:dyDescent="0.25">
      <c r="F61" s="45" t="s">
        <v>925</v>
      </c>
      <c r="H61" s="11"/>
    </row>
    <row r="62" spans="6:14" x14ac:dyDescent="0.25">
      <c r="F62" s="12" t="s">
        <v>899</v>
      </c>
      <c r="H62" s="11"/>
      <c r="N62" s="40">
        <f>N49*N58</f>
        <v>7.4957510000000005E-2</v>
      </c>
    </row>
    <row r="63" spans="6:14" x14ac:dyDescent="0.25">
      <c r="F63" s="12" t="s">
        <v>902</v>
      </c>
      <c r="H63" s="11"/>
      <c r="N63" s="40">
        <f>N49*N59</f>
        <v>0.44594249000000002</v>
      </c>
    </row>
    <row r="64" spans="6:14" x14ac:dyDescent="0.25">
      <c r="F64" s="12" t="s">
        <v>900</v>
      </c>
      <c r="H64" s="11"/>
      <c r="N64" s="40">
        <f>(N47+N48)*N58</f>
        <v>6.8942489999999995E-2</v>
      </c>
    </row>
    <row r="65" spans="5:15" x14ac:dyDescent="0.25">
      <c r="F65" s="12" t="s">
        <v>901</v>
      </c>
      <c r="H65" s="11"/>
      <c r="N65" s="40">
        <f>(N47+N48)*N59</f>
        <v>0.41015750999999995</v>
      </c>
    </row>
    <row r="66" spans="5:15" x14ac:dyDescent="0.25">
      <c r="H66" s="11"/>
    </row>
    <row r="67" spans="5:15" x14ac:dyDescent="0.25">
      <c r="H67" s="11"/>
    </row>
    <row r="68" spans="5:15" ht="11" thickBot="1" x14ac:dyDescent="0.3">
      <c r="E68" s="1" t="s">
        <v>503</v>
      </c>
      <c r="F68" s="1"/>
      <c r="H68" s="11"/>
    </row>
    <row r="69" spans="5:15" x14ac:dyDescent="0.25">
      <c r="F69" s="12" t="s">
        <v>881</v>
      </c>
      <c r="H69" s="11" t="s">
        <v>507</v>
      </c>
      <c r="N69" s="25">
        <v>27</v>
      </c>
    </row>
    <row r="70" spans="5:15" x14ac:dyDescent="0.25">
      <c r="F70" s="12" t="s">
        <v>882</v>
      </c>
      <c r="H70" s="11" t="s">
        <v>507</v>
      </c>
      <c r="N70" s="22">
        <f>N75/N74*60</f>
        <v>32.01</v>
      </c>
      <c r="O70" s="90"/>
    </row>
    <row r="71" spans="5:15" x14ac:dyDescent="0.25">
      <c r="F71" s="12" t="s">
        <v>884</v>
      </c>
      <c r="H71" s="11" t="s">
        <v>507</v>
      </c>
      <c r="N71" s="25">
        <v>24.6</v>
      </c>
      <c r="O71" s="90" t="s">
        <v>931</v>
      </c>
    </row>
    <row r="72" spans="5:15" x14ac:dyDescent="0.25">
      <c r="F72" s="12" t="s">
        <v>883</v>
      </c>
      <c r="H72" s="11" t="s">
        <v>507</v>
      </c>
      <c r="N72" s="22">
        <f>N76/N73*60</f>
        <v>64.86</v>
      </c>
      <c r="O72" s="90"/>
    </row>
    <row r="73" spans="5:15" x14ac:dyDescent="0.25">
      <c r="F73" s="12" t="s">
        <v>508</v>
      </c>
      <c r="H73" s="11" t="s">
        <v>506</v>
      </c>
      <c r="N73" s="25">
        <v>5</v>
      </c>
      <c r="O73" s="90"/>
    </row>
    <row r="74" spans="5:15" x14ac:dyDescent="0.25">
      <c r="F74" s="12" t="s">
        <v>505</v>
      </c>
      <c r="H74" s="11" t="s">
        <v>506</v>
      </c>
      <c r="N74" s="25">
        <v>20</v>
      </c>
      <c r="O74" s="90"/>
    </row>
    <row r="75" spans="5:15" x14ac:dyDescent="0.25">
      <c r="F75" s="12" t="s">
        <v>895</v>
      </c>
      <c r="H75" s="11" t="s">
        <v>504</v>
      </c>
      <c r="N75" s="25">
        <f>(10.75+10.59)/2</f>
        <v>10.67</v>
      </c>
      <c r="O75" s="90" t="s">
        <v>931</v>
      </c>
    </row>
    <row r="76" spans="5:15" x14ac:dyDescent="0.25">
      <c r="F76" s="12" t="s">
        <v>896</v>
      </c>
      <c r="H76" s="11" t="s">
        <v>504</v>
      </c>
      <c r="N76" s="25">
        <f>(5.4+5.41)/2</f>
        <v>5.4050000000000002</v>
      </c>
      <c r="O76" s="90" t="s">
        <v>931</v>
      </c>
    </row>
    <row r="77" spans="5:15" x14ac:dyDescent="0.25">
      <c r="F77" s="12" t="s">
        <v>897</v>
      </c>
      <c r="H77" s="11" t="s">
        <v>504</v>
      </c>
      <c r="N77" s="22">
        <f>N74*N69/60</f>
        <v>9</v>
      </c>
    </row>
    <row r="78" spans="5:15" x14ac:dyDescent="0.25">
      <c r="F78" s="12" t="s">
        <v>898</v>
      </c>
      <c r="H78" s="11" t="s">
        <v>504</v>
      </c>
      <c r="N78" s="21">
        <f>N73*N71/60</f>
        <v>2.0499999999999998</v>
      </c>
    </row>
    <row r="79" spans="5:15" x14ac:dyDescent="0.25">
      <c r="H79" s="11"/>
    </row>
    <row r="80" spans="5:15" ht="11" thickBot="1" x14ac:dyDescent="0.3">
      <c r="E80" s="1" t="s">
        <v>453</v>
      </c>
      <c r="F80" s="1"/>
    </row>
    <row r="82" spans="2:15" x14ac:dyDescent="0.25">
      <c r="B82" s="12" t="s">
        <v>456</v>
      </c>
      <c r="C82" s="12" t="s">
        <v>457</v>
      </c>
      <c r="F82" s="45" t="s">
        <v>458</v>
      </c>
      <c r="N82" s="51" t="s">
        <v>545</v>
      </c>
      <c r="O82" s="51" t="s">
        <v>541</v>
      </c>
    </row>
    <row r="83" spans="2:15" x14ac:dyDescent="0.25">
      <c r="F83" s="12" t="s">
        <v>455</v>
      </c>
      <c r="H83" s="11" t="s">
        <v>85</v>
      </c>
      <c r="N83" s="27">
        <v>1.4</v>
      </c>
      <c r="O83" s="27">
        <f>N83*FY13toFY22</f>
        <v>1.6483599999999998</v>
      </c>
    </row>
    <row r="84" spans="2:15" x14ac:dyDescent="0.25">
      <c r="F84" s="12" t="s">
        <v>454</v>
      </c>
      <c r="H84" s="11" t="s">
        <v>85</v>
      </c>
      <c r="N84" s="27">
        <v>2.77</v>
      </c>
      <c r="O84" s="27">
        <f>N84*FY13toFY22</f>
        <v>3.2613980000000002</v>
      </c>
    </row>
    <row r="86" spans="2:15" x14ac:dyDescent="0.25">
      <c r="B86" s="12" t="s">
        <v>456</v>
      </c>
      <c r="C86" s="12" t="s">
        <v>457</v>
      </c>
      <c r="F86" s="45" t="s">
        <v>459</v>
      </c>
      <c r="N86" s="51" t="s">
        <v>540</v>
      </c>
      <c r="O86" s="51" t="s">
        <v>541</v>
      </c>
    </row>
    <row r="87" spans="2:15" x14ac:dyDescent="0.25">
      <c r="F87" s="12" t="s">
        <v>461</v>
      </c>
      <c r="H87" s="11" t="s">
        <v>85</v>
      </c>
      <c r="N87" s="27">
        <f>(0.207+0.258)/2</f>
        <v>0.23249999999999998</v>
      </c>
      <c r="O87" s="27">
        <f t="shared" ref="O87:O92" si="2">N87*FY10toFY22</f>
        <v>0.28832324999999998</v>
      </c>
    </row>
    <row r="88" spans="2:15" x14ac:dyDescent="0.25">
      <c r="F88" s="12" t="s">
        <v>460</v>
      </c>
      <c r="H88" s="11" t="s">
        <v>85</v>
      </c>
      <c r="N88" s="27">
        <f>(0.135+0.35)/2</f>
        <v>0.24249999999999999</v>
      </c>
      <c r="O88" s="27">
        <f t="shared" si="2"/>
        <v>0.30072424999999997</v>
      </c>
    </row>
    <row r="89" spans="2:15" x14ac:dyDescent="0.25">
      <c r="F89" s="12" t="s">
        <v>561</v>
      </c>
      <c r="H89" s="11" t="s">
        <v>85</v>
      </c>
      <c r="N89" s="27">
        <f>(0.01+0.024)/2</f>
        <v>1.7000000000000001E-2</v>
      </c>
      <c r="O89" s="27">
        <f t="shared" si="2"/>
        <v>2.1081700000000002E-2</v>
      </c>
    </row>
    <row r="90" spans="2:15" x14ac:dyDescent="0.25">
      <c r="F90" s="12" t="s">
        <v>462</v>
      </c>
      <c r="H90" s="11" t="s">
        <v>85</v>
      </c>
      <c r="N90" s="27">
        <f>(0.017+0.028)/2</f>
        <v>2.2499999999999999E-2</v>
      </c>
      <c r="O90" s="27">
        <f t="shared" si="2"/>
        <v>2.790225E-2</v>
      </c>
    </row>
    <row r="91" spans="2:15" x14ac:dyDescent="0.25">
      <c r="F91" s="12" t="s">
        <v>463</v>
      </c>
      <c r="H91" s="11" t="s">
        <v>85</v>
      </c>
      <c r="N91" s="27">
        <f>(0.005+0.009)/2</f>
        <v>6.9999999999999993E-3</v>
      </c>
      <c r="O91" s="27">
        <f t="shared" si="2"/>
        <v>8.6806999999999995E-3</v>
      </c>
    </row>
    <row r="92" spans="2:15" x14ac:dyDescent="0.25">
      <c r="F92" s="12" t="s">
        <v>464</v>
      </c>
      <c r="H92" s="11" t="s">
        <v>85</v>
      </c>
      <c r="N92" s="27">
        <f>(0.006+0.022)/2</f>
        <v>1.3999999999999999E-2</v>
      </c>
      <c r="O92" s="27">
        <f t="shared" si="2"/>
        <v>1.7361399999999999E-2</v>
      </c>
    </row>
    <row r="93" spans="2:15" x14ac:dyDescent="0.25">
      <c r="F93" s="12" t="s">
        <v>465</v>
      </c>
      <c r="H93" s="11" t="s">
        <v>85</v>
      </c>
      <c r="N93" s="27">
        <f>SUM(N87:N92)</f>
        <v>0.53549999999999998</v>
      </c>
      <c r="O93" s="27">
        <f>N93*FY10toFY22</f>
        <v>0.66407355000000001</v>
      </c>
    </row>
    <row r="95" spans="2:15" x14ac:dyDescent="0.25">
      <c r="F95" s="45" t="s">
        <v>466</v>
      </c>
      <c r="N95" s="51" t="s">
        <v>545</v>
      </c>
      <c r="O95" s="51" t="s">
        <v>541</v>
      </c>
    </row>
    <row r="96" spans="2:15" x14ac:dyDescent="0.25">
      <c r="B96" s="12" t="s">
        <v>544</v>
      </c>
      <c r="C96" s="12" t="s">
        <v>543</v>
      </c>
      <c r="F96" s="12" t="s">
        <v>550</v>
      </c>
      <c r="H96" s="11" t="s">
        <v>85</v>
      </c>
      <c r="N96" s="27">
        <v>14.99</v>
      </c>
      <c r="O96" s="27">
        <f>N96*FY13toFY22</f>
        <v>17.649225999999999</v>
      </c>
    </row>
  </sheetData>
  <hyperlinks>
    <hyperlink ref="B35" r:id="rId1" display="\\SGSPL.local\DFS\Company\Synergy\Projects\2020\20200512 FFLA - Northern Regional Trails CBA\Raw inputs\Trail count data" xr:uid="{FD8632F2-0DF4-49A7-B067-60184DD891C4}"/>
    <hyperlink ref="B45" r:id="rId2" xr:uid="{AB749881-CD56-4141-87C5-57C93EE8ADA1}"/>
    <hyperlink ref="B29" r:id="rId3" xr:uid="{78BF1D42-E135-41C5-AAA7-96B7CE7EBA4A}"/>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326EC-D535-4900-B60D-155A81B7BF64}">
  <sheetPr>
    <tabColor theme="3"/>
    <pageSetUpPr autoPageBreaks="0"/>
  </sheetPr>
  <dimension ref="A1"/>
  <sheetViews>
    <sheetView showGridLines="0" workbookViewId="0">
      <selection activeCell="G24" sqref="G24"/>
    </sheetView>
  </sheetViews>
  <sheetFormatPr defaultColWidth="9.375" defaultRowHeight="10.5" x14ac:dyDescent="0.25"/>
  <cols>
    <col min="1" max="1" width="16.125" customWidth="1"/>
  </cols>
  <sheetData>
    <row r="1" spans="1:1" ht="31" x14ac:dyDescent="0.25">
      <c r="A1" s="6" t="str">
        <f ca="1">MID(CELL("filename",A1),FIND("]",CELL("filename",A1))+1,255)</f>
        <v>Trail use&gt;</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6326-87B1-47B9-8E43-FB1A16690152}">
  <sheetPr>
    <pageSetUpPr autoPageBreaks="0"/>
  </sheetPr>
  <dimension ref="A1:AR144"/>
  <sheetViews>
    <sheetView showGridLines="0" workbookViewId="0">
      <selection activeCell="C2" sqref="C2"/>
    </sheetView>
  </sheetViews>
  <sheetFormatPr defaultColWidth="9.375" defaultRowHeight="10.5" outlineLevelCol="1" x14ac:dyDescent="0.25"/>
  <cols>
    <col min="1" max="1" width="2.875" style="12" customWidth="1"/>
    <col min="2" max="3" width="13.375" style="12" customWidth="1" outlineLevel="1"/>
    <col min="4" max="5" width="2.875" style="12" customWidth="1"/>
    <col min="6" max="6" width="50.875" style="12" customWidth="1"/>
    <col min="7" max="7" width="9.375" style="12" customWidth="1"/>
    <col min="8" max="8" width="14.875" style="12" customWidth="1"/>
    <col min="9" max="9" width="9.375" style="12" customWidth="1"/>
    <col min="10" max="12" width="2.875" style="12" customWidth="1" outlineLevel="1"/>
    <col min="13" max="13" width="13.5" style="12" customWidth="1" outlineLevel="1"/>
    <col min="14" max="49" width="14.875" style="12" customWidth="1"/>
    <col min="50" max="16384" width="9.375" style="12"/>
  </cols>
  <sheetData>
    <row r="1" spans="1:44" customFormat="1" ht="15.5" x14ac:dyDescent="0.25">
      <c r="A1" s="5" t="str">
        <f ca="1">MID(CELL("filename",A1),FIND("]",CELL("filename",A1))+1,255)</f>
        <v>Km+hr travelled</v>
      </c>
      <c r="E1" s="5"/>
    </row>
    <row r="2" spans="1:44" customFormat="1" ht="12" x14ac:dyDescent="0.3">
      <c r="B2" s="7" t="s">
        <v>1</v>
      </c>
      <c r="C2" s="7" t="s">
        <v>2</v>
      </c>
      <c r="D2" s="7"/>
      <c r="E2" s="7"/>
      <c r="F2" s="7"/>
      <c r="H2" s="8"/>
      <c r="I2" s="8"/>
      <c r="J2" s="8"/>
      <c r="K2" s="8"/>
      <c r="L2" s="8"/>
      <c r="M2" s="8"/>
      <c r="N2" s="8"/>
    </row>
    <row r="3" spans="1:44" s="13" customFormat="1" x14ac:dyDescent="0.25">
      <c r="A3" s="12"/>
      <c r="B3" s="12"/>
      <c r="C3" s="12"/>
    </row>
    <row r="5" spans="1:44" customFormat="1" x14ac:dyDescent="0.25">
      <c r="F5" t="str">
        <f>General!F17</f>
        <v>Financial year ending</v>
      </c>
      <c r="H5" s="11" t="str">
        <f>General!H17</f>
        <v>yyyy</v>
      </c>
      <c r="N5" s="31">
        <f>General!N17</f>
        <v>2022</v>
      </c>
      <c r="O5" s="31">
        <f>General!O17</f>
        <v>2023</v>
      </c>
      <c r="P5" s="31">
        <f>General!P17</f>
        <v>2024</v>
      </c>
      <c r="Q5" s="47">
        <f>General!Q17</f>
        <v>2025</v>
      </c>
      <c r="R5" s="47">
        <f>General!R17</f>
        <v>2026</v>
      </c>
      <c r="S5" s="47">
        <f>General!S17</f>
        <v>2027</v>
      </c>
      <c r="T5" s="47">
        <f>General!T17</f>
        <v>2028</v>
      </c>
      <c r="U5" s="47">
        <f>General!U17</f>
        <v>2029</v>
      </c>
      <c r="V5" s="47">
        <f>General!V17</f>
        <v>2030</v>
      </c>
      <c r="W5" s="47">
        <f>General!W17</f>
        <v>2031</v>
      </c>
      <c r="X5" s="47">
        <f>General!X17</f>
        <v>2032</v>
      </c>
      <c r="Y5" s="47">
        <f>General!Y17</f>
        <v>2033</v>
      </c>
      <c r="Z5" s="47">
        <f>General!Z17</f>
        <v>2034</v>
      </c>
      <c r="AA5" s="47">
        <f>General!AA17</f>
        <v>2035</v>
      </c>
      <c r="AB5" s="47">
        <f>General!AB17</f>
        <v>2036</v>
      </c>
      <c r="AC5" s="47">
        <f>General!AC17</f>
        <v>2037</v>
      </c>
      <c r="AD5" s="47">
        <f>General!AD17</f>
        <v>2038</v>
      </c>
      <c r="AE5" s="47">
        <f>General!AE17</f>
        <v>2039</v>
      </c>
      <c r="AF5" s="47">
        <f>General!AF17</f>
        <v>2040</v>
      </c>
      <c r="AG5" s="47">
        <f>General!AG17</f>
        <v>2041</v>
      </c>
      <c r="AH5" s="47">
        <f>General!AH17</f>
        <v>2042</v>
      </c>
      <c r="AI5" s="47">
        <f>General!AI17</f>
        <v>2043</v>
      </c>
      <c r="AJ5" s="47">
        <f>General!AJ17</f>
        <v>2044</v>
      </c>
      <c r="AK5" s="47">
        <f>General!AK17</f>
        <v>2045</v>
      </c>
      <c r="AL5" s="47">
        <f>General!AL17</f>
        <v>2046</v>
      </c>
      <c r="AM5" s="47">
        <f>General!AM17</f>
        <v>2047</v>
      </c>
      <c r="AN5" s="47">
        <f>General!AN17</f>
        <v>2048</v>
      </c>
      <c r="AO5" s="47">
        <f>General!AO17</f>
        <v>2049</v>
      </c>
      <c r="AP5" s="47">
        <f>General!AP17</f>
        <v>2050</v>
      </c>
      <c r="AQ5" s="47">
        <f>General!AQ17</f>
        <v>2051</v>
      </c>
      <c r="AR5" s="47">
        <f>General!AR17</f>
        <v>2052</v>
      </c>
    </row>
    <row r="6" spans="1:44" customFormat="1" x14ac:dyDescent="0.25">
      <c r="F6" t="str">
        <f>General!F18</f>
        <v>Period number</v>
      </c>
      <c r="H6" s="11" t="str">
        <f>General!H18</f>
        <v>#</v>
      </c>
      <c r="N6" s="19">
        <f>General!N18</f>
        <v>1</v>
      </c>
      <c r="O6" s="22">
        <f>General!O18</f>
        <v>2</v>
      </c>
      <c r="P6" s="22">
        <f>General!P18</f>
        <v>3</v>
      </c>
      <c r="Q6" s="46">
        <f>General!Q18</f>
        <v>4</v>
      </c>
      <c r="R6" s="46">
        <f>General!R18</f>
        <v>5</v>
      </c>
      <c r="S6" s="46">
        <f>General!S18</f>
        <v>6</v>
      </c>
      <c r="T6" s="46">
        <f>General!T18</f>
        <v>7</v>
      </c>
      <c r="U6" s="46">
        <f>General!U18</f>
        <v>8</v>
      </c>
      <c r="V6" s="46">
        <f>General!V18</f>
        <v>9</v>
      </c>
      <c r="W6" s="46">
        <f>General!W18</f>
        <v>10</v>
      </c>
      <c r="X6" s="46">
        <f>General!X18</f>
        <v>11</v>
      </c>
      <c r="Y6" s="46">
        <f>General!Y18</f>
        <v>12</v>
      </c>
      <c r="Z6" s="46">
        <f>General!Z18</f>
        <v>13</v>
      </c>
      <c r="AA6" s="46">
        <f>General!AA18</f>
        <v>14</v>
      </c>
      <c r="AB6" s="46">
        <f>General!AB18</f>
        <v>15</v>
      </c>
      <c r="AC6" s="46">
        <f>General!AC18</f>
        <v>16</v>
      </c>
      <c r="AD6" s="46">
        <f>General!AD18</f>
        <v>17</v>
      </c>
      <c r="AE6" s="46">
        <f>General!AE18</f>
        <v>18</v>
      </c>
      <c r="AF6" s="46">
        <f>General!AF18</f>
        <v>19</v>
      </c>
      <c r="AG6" s="46">
        <f>General!AG18</f>
        <v>20</v>
      </c>
      <c r="AH6" s="46">
        <f>General!AH18</f>
        <v>21</v>
      </c>
      <c r="AI6" s="46">
        <f>General!AI18</f>
        <v>22</v>
      </c>
      <c r="AJ6" s="46">
        <f>General!AJ18</f>
        <v>23</v>
      </c>
      <c r="AK6" s="46">
        <f>General!AK18</f>
        <v>24</v>
      </c>
      <c r="AL6" s="46">
        <f>General!AL18</f>
        <v>25</v>
      </c>
      <c r="AM6" s="46">
        <f>General!AM18</f>
        <v>26</v>
      </c>
      <c r="AN6" s="46">
        <f>General!AN18</f>
        <v>27</v>
      </c>
      <c r="AO6" s="46">
        <f>General!AO18</f>
        <v>28</v>
      </c>
      <c r="AP6" s="46">
        <f>General!AP18</f>
        <v>29</v>
      </c>
      <c r="AQ6" s="46">
        <f>General!AQ18</f>
        <v>30</v>
      </c>
      <c r="AR6" s="46">
        <f>General!AR18</f>
        <v>31</v>
      </c>
    </row>
    <row r="7" spans="1:44" customFormat="1" x14ac:dyDescent="0.25">
      <c r="F7" t="str">
        <f>General!F19</f>
        <v>Construction year</v>
      </c>
      <c r="H7" s="11" t="str">
        <f>General!H19</f>
        <v>#</v>
      </c>
      <c r="N7" s="19">
        <f>General!N19</f>
        <v>1</v>
      </c>
      <c r="O7" s="22">
        <f>General!O19</f>
        <v>2</v>
      </c>
      <c r="P7" s="22">
        <f>General!P19</f>
        <v>3</v>
      </c>
      <c r="Q7" s="46">
        <f>General!Q19</f>
        <v>4</v>
      </c>
      <c r="R7" s="46">
        <f>General!R19</f>
        <v>5</v>
      </c>
      <c r="S7" s="46">
        <f>General!S19</f>
        <v>6</v>
      </c>
      <c r="T7" s="46">
        <f>General!T19</f>
        <v>7</v>
      </c>
      <c r="U7" s="46">
        <f>General!U19</f>
        <v>8</v>
      </c>
      <c r="V7" s="46">
        <f>General!V19</f>
        <v>9</v>
      </c>
      <c r="W7" s="46">
        <f>General!W19</f>
        <v>10</v>
      </c>
      <c r="X7" s="46" t="str">
        <f>General!X19</f>
        <v>N/A</v>
      </c>
      <c r="Y7" s="46" t="str">
        <f>General!Y19</f>
        <v>N/A</v>
      </c>
      <c r="Z7" s="46" t="str">
        <f>General!Z19</f>
        <v>N/A</v>
      </c>
      <c r="AA7" s="46" t="str">
        <f>General!AA19</f>
        <v>N/A</v>
      </c>
      <c r="AB7" s="46" t="str">
        <f>General!AB19</f>
        <v>N/A</v>
      </c>
      <c r="AC7" s="46" t="str">
        <f>General!AC19</f>
        <v>N/A</v>
      </c>
      <c r="AD7" s="46" t="str">
        <f>General!AD19</f>
        <v>N/A</v>
      </c>
      <c r="AE7" s="46" t="str">
        <f>General!AE19</f>
        <v>N/A</v>
      </c>
      <c r="AF7" s="46" t="str">
        <f>General!AF19</f>
        <v>N/A</v>
      </c>
      <c r="AG7" s="46" t="str">
        <f>General!AG19</f>
        <v>N/A</v>
      </c>
      <c r="AH7" s="46" t="str">
        <f>General!AH19</f>
        <v>N/A</v>
      </c>
      <c r="AI7" s="46" t="str">
        <f>General!AI19</f>
        <v>N/A</v>
      </c>
      <c r="AJ7" s="46" t="str">
        <f>General!AJ19</f>
        <v>N/A</v>
      </c>
      <c r="AK7" s="46" t="str">
        <f>General!AK19</f>
        <v>N/A</v>
      </c>
      <c r="AL7" s="46" t="str">
        <f>General!AL19</f>
        <v>N/A</v>
      </c>
      <c r="AM7" s="46" t="str">
        <f>General!AM19</f>
        <v>N/A</v>
      </c>
      <c r="AN7" s="46" t="str">
        <f>General!AN19</f>
        <v>N/A</v>
      </c>
      <c r="AO7" s="46" t="str">
        <f>General!AO19</f>
        <v>N/A</v>
      </c>
      <c r="AP7" s="46" t="str">
        <f>General!AP19</f>
        <v>N/A</v>
      </c>
      <c r="AQ7" s="46" t="str">
        <f>General!AQ19</f>
        <v>N/A</v>
      </c>
      <c r="AR7" s="46" t="str">
        <f>General!AR19</f>
        <v>N/A</v>
      </c>
    </row>
    <row r="8" spans="1:44" customFormat="1" x14ac:dyDescent="0.25">
      <c r="F8" t="str">
        <f>General!F20</f>
        <v>Benefit ramp up</v>
      </c>
      <c r="H8" s="11" t="str">
        <f>General!H20</f>
        <v>%</v>
      </c>
      <c r="N8" s="14">
        <f>General!N20</f>
        <v>0</v>
      </c>
      <c r="O8" s="14">
        <f>General!O20</f>
        <v>0.2</v>
      </c>
      <c r="P8" s="40">
        <f>General!P20</f>
        <v>0.28888888888888892</v>
      </c>
      <c r="Q8" s="48">
        <f>General!Q20</f>
        <v>0.37777777777777782</v>
      </c>
      <c r="R8" s="48">
        <f>General!R20</f>
        <v>0.46666666666666673</v>
      </c>
      <c r="S8" s="48">
        <f>General!S20</f>
        <v>0.55555555555555558</v>
      </c>
      <c r="T8" s="48">
        <f>General!T20</f>
        <v>0.64444444444444449</v>
      </c>
      <c r="U8" s="48">
        <f>General!U20</f>
        <v>0.73333333333333339</v>
      </c>
      <c r="V8" s="48">
        <f>General!V20</f>
        <v>0.8222222222222223</v>
      </c>
      <c r="W8" s="48">
        <f>General!W20</f>
        <v>0.9111111111111112</v>
      </c>
      <c r="X8" s="48">
        <f>General!X20</f>
        <v>1</v>
      </c>
      <c r="Y8" s="48">
        <f>General!Y20</f>
        <v>1</v>
      </c>
      <c r="Z8" s="48">
        <f>General!Z20</f>
        <v>1</v>
      </c>
      <c r="AA8" s="48">
        <f>General!AA20</f>
        <v>1</v>
      </c>
      <c r="AB8" s="48">
        <f>General!AB20</f>
        <v>1</v>
      </c>
      <c r="AC8" s="48">
        <f>General!AC20</f>
        <v>1</v>
      </c>
      <c r="AD8" s="48">
        <f>General!AD20</f>
        <v>1</v>
      </c>
      <c r="AE8" s="48">
        <f>General!AE20</f>
        <v>1</v>
      </c>
      <c r="AF8" s="48">
        <f>General!AF20</f>
        <v>1</v>
      </c>
      <c r="AG8" s="48">
        <f>General!AG20</f>
        <v>1</v>
      </c>
      <c r="AH8" s="48">
        <f>General!AH20</f>
        <v>1</v>
      </c>
      <c r="AI8" s="48">
        <f>General!AI20</f>
        <v>1</v>
      </c>
      <c r="AJ8" s="48">
        <f>General!AJ20</f>
        <v>1</v>
      </c>
      <c r="AK8" s="48">
        <f>General!AK20</f>
        <v>1</v>
      </c>
      <c r="AL8" s="48">
        <f>General!AL20</f>
        <v>1</v>
      </c>
      <c r="AM8" s="48">
        <f>General!AM20</f>
        <v>1</v>
      </c>
      <c r="AN8" s="48">
        <f>General!AN20</f>
        <v>1</v>
      </c>
      <c r="AO8" s="48">
        <f>General!AO20</f>
        <v>1</v>
      </c>
      <c r="AP8" s="48">
        <f>General!AP20</f>
        <v>1</v>
      </c>
      <c r="AQ8" s="48">
        <f>General!AQ20</f>
        <v>1</v>
      </c>
      <c r="AR8" s="48">
        <f>General!AR20</f>
        <v>1</v>
      </c>
    </row>
    <row r="9" spans="1:44" customFormat="1" x14ac:dyDescent="0.25">
      <c r="F9" t="str">
        <f>General!F21</f>
        <v>Benefit year</v>
      </c>
      <c r="H9" s="11" t="str">
        <f>General!H21</f>
        <v>#</v>
      </c>
      <c r="N9" s="22">
        <f>General!N21</f>
        <v>0</v>
      </c>
      <c r="O9" s="22">
        <f>General!O21</f>
        <v>1</v>
      </c>
      <c r="P9" s="22">
        <f>General!P21</f>
        <v>2</v>
      </c>
      <c r="Q9" s="46">
        <f>General!Q21</f>
        <v>3</v>
      </c>
      <c r="R9" s="46">
        <f>General!R21</f>
        <v>4</v>
      </c>
      <c r="S9" s="46">
        <f>General!S21</f>
        <v>5</v>
      </c>
      <c r="T9" s="46">
        <f>General!T21</f>
        <v>6</v>
      </c>
      <c r="U9" s="46">
        <f>General!U21</f>
        <v>7</v>
      </c>
      <c r="V9" s="46">
        <f>General!V21</f>
        <v>8</v>
      </c>
      <c r="W9" s="46">
        <f>General!W21</f>
        <v>9</v>
      </c>
      <c r="X9" s="46">
        <f>General!X21</f>
        <v>10</v>
      </c>
      <c r="Y9" s="46">
        <f>General!Y21</f>
        <v>11</v>
      </c>
      <c r="Z9" s="46">
        <f>General!Z21</f>
        <v>12</v>
      </c>
      <c r="AA9" s="46">
        <f>General!AA21</f>
        <v>13</v>
      </c>
      <c r="AB9" s="46">
        <f>General!AB21</f>
        <v>14</v>
      </c>
      <c r="AC9" s="46">
        <f>General!AC21</f>
        <v>15</v>
      </c>
      <c r="AD9" s="46">
        <f>General!AD21</f>
        <v>16</v>
      </c>
      <c r="AE9" s="46">
        <f>General!AE21</f>
        <v>17</v>
      </c>
      <c r="AF9" s="46">
        <f>General!AF21</f>
        <v>18</v>
      </c>
      <c r="AG9" s="46">
        <f>General!AG21</f>
        <v>19</v>
      </c>
      <c r="AH9" s="46">
        <f>General!AH21</f>
        <v>20</v>
      </c>
      <c r="AI9" s="46">
        <f>General!AI21</f>
        <v>21</v>
      </c>
      <c r="AJ9" s="46">
        <f>General!AJ21</f>
        <v>22</v>
      </c>
      <c r="AK9" s="46">
        <f>General!AK21</f>
        <v>23</v>
      </c>
      <c r="AL9" s="46">
        <f>General!AL21</f>
        <v>24</v>
      </c>
      <c r="AM9" s="46">
        <f>General!AM21</f>
        <v>25</v>
      </c>
      <c r="AN9" s="46">
        <f>General!AN21</f>
        <v>26</v>
      </c>
      <c r="AO9" s="46">
        <f>General!AO21</f>
        <v>27</v>
      </c>
      <c r="AP9" s="46">
        <f>General!AP21</f>
        <v>28</v>
      </c>
      <c r="AQ9" s="46">
        <f>General!AQ21</f>
        <v>29</v>
      </c>
      <c r="AR9" s="46">
        <f>General!AR21</f>
        <v>30</v>
      </c>
    </row>
    <row r="10" spans="1:44" customFormat="1" x14ac:dyDescent="0.25">
      <c r="F10" t="str">
        <f>General!F22</f>
        <v>Discount factor (7%)</v>
      </c>
      <c r="H10" s="11" t="str">
        <f>General!H22</f>
        <v>#</v>
      </c>
      <c r="N10" s="27">
        <f>General!N22</f>
        <v>1</v>
      </c>
      <c r="O10" s="27">
        <f>General!O22</f>
        <v>0.93457943925233644</v>
      </c>
      <c r="P10" s="27">
        <f>General!P22</f>
        <v>0.87343872827321156</v>
      </c>
      <c r="Q10" s="49">
        <f>General!Q22</f>
        <v>0.81629787689085187</v>
      </c>
      <c r="R10" s="49">
        <f>General!R22</f>
        <v>0.7628952120475252</v>
      </c>
      <c r="S10" s="49">
        <f>General!S22</f>
        <v>0.71298617948366838</v>
      </c>
      <c r="T10" s="49">
        <f>General!T22</f>
        <v>0.66634222381651254</v>
      </c>
      <c r="U10" s="49">
        <f>General!U22</f>
        <v>0.62274974188459109</v>
      </c>
      <c r="V10" s="49">
        <f>General!V22</f>
        <v>0.5820091045650384</v>
      </c>
      <c r="W10" s="49">
        <f>General!W22</f>
        <v>0.54393374258414806</v>
      </c>
      <c r="X10" s="49">
        <f>General!X22</f>
        <v>0.5083492921347178</v>
      </c>
      <c r="Y10" s="49">
        <f>General!Y22</f>
        <v>0.47509279638758667</v>
      </c>
      <c r="Z10" s="49">
        <f>General!Z22</f>
        <v>0.44401195924073528</v>
      </c>
      <c r="AA10" s="49">
        <f>General!AA22</f>
        <v>0.41496444788853759</v>
      </c>
      <c r="AB10" s="49">
        <f>General!AB22</f>
        <v>0.3878172410173249</v>
      </c>
      <c r="AC10" s="49">
        <f>General!AC22</f>
        <v>0.36244601964235967</v>
      </c>
      <c r="AD10" s="49">
        <f>General!AD22</f>
        <v>0.33873459779659787</v>
      </c>
      <c r="AE10" s="49">
        <f>General!AE22</f>
        <v>0.31657439046411018</v>
      </c>
      <c r="AF10" s="49">
        <f>General!AF22</f>
        <v>0.29586391632159825</v>
      </c>
      <c r="AG10" s="49">
        <f>General!AG22</f>
        <v>0.27650833301083949</v>
      </c>
      <c r="AH10" s="49">
        <f>General!AH22</f>
        <v>0.2584190028138687</v>
      </c>
      <c r="AI10" s="49">
        <f>General!AI22</f>
        <v>0.24151308674193336</v>
      </c>
      <c r="AJ10" s="49">
        <f>General!AJ22</f>
        <v>0.22571316517937698</v>
      </c>
      <c r="AK10" s="49">
        <f>General!AK22</f>
        <v>0.21094688334521211</v>
      </c>
      <c r="AL10" s="49">
        <f>General!AL22</f>
        <v>0.19714661994879637</v>
      </c>
      <c r="AM10" s="49">
        <f>General!AM22</f>
        <v>0.18424917752223957</v>
      </c>
      <c r="AN10" s="49">
        <f>General!AN22</f>
        <v>0.17219549301143888</v>
      </c>
      <c r="AO10" s="49">
        <f>General!AO22</f>
        <v>0.16093036730041013</v>
      </c>
      <c r="AP10" s="49">
        <f>General!AP22</f>
        <v>0.15040221243028987</v>
      </c>
      <c r="AQ10" s="49">
        <f>General!AQ22</f>
        <v>0.1405628153554111</v>
      </c>
      <c r="AR10" s="49">
        <f>General!AR22</f>
        <v>0.13136711715458982</v>
      </c>
    </row>
    <row r="12" spans="1:44" s="13" customFormat="1" x14ac:dyDescent="0.25">
      <c r="A12" s="12"/>
      <c r="B12" s="12"/>
      <c r="C12" s="12"/>
      <c r="D12" s="13" t="s">
        <v>70</v>
      </c>
    </row>
    <row r="14" spans="1:44" x14ac:dyDescent="0.25">
      <c r="F14" s="45" t="str">
        <f>Benefit_In!E5</f>
        <v>Population within proximity of current and future trails</v>
      </c>
      <c r="N14" s="50">
        <f>Benefit_In!N7</f>
        <v>2021</v>
      </c>
      <c r="O14" s="50">
        <f>Benefit_In!O7</f>
        <v>2031</v>
      </c>
      <c r="P14" s="50">
        <f>Benefit_In!P7</f>
        <v>2041</v>
      </c>
      <c r="Q14" s="50">
        <f>Benefit_In!Q7</f>
        <v>2051</v>
      </c>
    </row>
    <row r="15" spans="1:44" x14ac:dyDescent="0.25">
      <c r="F15" s="12" t="str">
        <f>Benefit_In!F8</f>
        <v>Population within 400m of existing trails</v>
      </c>
      <c r="G15" s="11"/>
      <c r="H15" s="11" t="str">
        <f>Benefit_In!H8</f>
        <v>#</v>
      </c>
      <c r="N15" s="22">
        <f>Benefit_In!N8</f>
        <v>373728</v>
      </c>
      <c r="O15" s="22">
        <f>Benefit_In!O8</f>
        <v>431722</v>
      </c>
      <c r="P15" s="22">
        <f>Benefit_In!P8</f>
        <v>489386</v>
      </c>
      <c r="Q15" s="22">
        <f>Benefit_In!Q8</f>
        <v>555823</v>
      </c>
    </row>
    <row r="16" spans="1:44" x14ac:dyDescent="0.25">
      <c r="F16" s="12" t="str">
        <f>Benefit_In!F9</f>
        <v>Population within 400m of existing + future trails</v>
      </c>
      <c r="G16" s="11"/>
      <c r="H16" s="11" t="str">
        <f>Benefit_In!H9</f>
        <v>#</v>
      </c>
      <c r="N16" s="22">
        <f>Benefit_In!N9</f>
        <v>455604</v>
      </c>
      <c r="O16" s="22">
        <f>Benefit_In!O9</f>
        <v>531493</v>
      </c>
      <c r="P16" s="22">
        <f>Benefit_In!P9</f>
        <v>609849</v>
      </c>
      <c r="Q16" s="22">
        <f>Benefit_In!Q9</f>
        <v>695760</v>
      </c>
    </row>
    <row r="17" spans="1:20" x14ac:dyDescent="0.25">
      <c r="H17" s="11"/>
    </row>
    <row r="18" spans="1:20" x14ac:dyDescent="0.25">
      <c r="H18" s="11"/>
    </row>
    <row r="19" spans="1:20" x14ac:dyDescent="0.25">
      <c r="F19" s="45" t="s">
        <v>521</v>
      </c>
      <c r="H19" s="11" t="s">
        <v>5</v>
      </c>
      <c r="N19" s="22">
        <f>Benefit_In!N39</f>
        <v>3410268.0000000005</v>
      </c>
    </row>
    <row r="20" spans="1:20" x14ac:dyDescent="0.25">
      <c r="H20" s="11"/>
    </row>
    <row r="21" spans="1:20" x14ac:dyDescent="0.25">
      <c r="F21" s="45" t="s">
        <v>509</v>
      </c>
      <c r="H21" s="11"/>
      <c r="N21" s="55" t="s">
        <v>37</v>
      </c>
      <c r="O21" s="55" t="s">
        <v>511</v>
      </c>
      <c r="P21" s="55" t="s">
        <v>512</v>
      </c>
    </row>
    <row r="22" spans="1:20" x14ac:dyDescent="0.25">
      <c r="F22" s="12" t="s">
        <v>903</v>
      </c>
      <c r="H22" s="11" t="s">
        <v>510</v>
      </c>
      <c r="N22" s="40">
        <f>Benefit_In!N65</f>
        <v>0.41015750999999995</v>
      </c>
      <c r="O22" s="22">
        <f>Benefit_In!N71</f>
        <v>24.6</v>
      </c>
      <c r="P22" s="21">
        <f>Benefit_In!N78</f>
        <v>2.0499999999999998</v>
      </c>
      <c r="S22" s="91">
        <f>P22/(O22/60)</f>
        <v>4.9999999999999991</v>
      </c>
      <c r="T22" s="92" t="s">
        <v>929</v>
      </c>
    </row>
    <row r="23" spans="1:20" x14ac:dyDescent="0.25">
      <c r="F23" s="12" t="s">
        <v>904</v>
      </c>
      <c r="H23" s="11" t="s">
        <v>510</v>
      </c>
      <c r="N23" s="40">
        <f>Benefit_In!N63</f>
        <v>0.44594249000000002</v>
      </c>
      <c r="O23" s="22">
        <f>Benefit_In!N69</f>
        <v>27</v>
      </c>
      <c r="P23" s="21">
        <f>Benefit_In!N77</f>
        <v>9</v>
      </c>
      <c r="S23" s="91">
        <f>P23/(O23/60)</f>
        <v>20</v>
      </c>
      <c r="T23" s="92" t="s">
        <v>930</v>
      </c>
    </row>
    <row r="24" spans="1:20" x14ac:dyDescent="0.25">
      <c r="F24" s="12" t="s">
        <v>905</v>
      </c>
      <c r="H24" s="11" t="s">
        <v>510</v>
      </c>
      <c r="N24" s="40">
        <f>Benefit_In!N64</f>
        <v>6.8942489999999995E-2</v>
      </c>
      <c r="O24" s="22">
        <f>Benefit_In!N72</f>
        <v>64.86</v>
      </c>
      <c r="P24" s="21">
        <f>Benefit_In!N76</f>
        <v>5.4050000000000002</v>
      </c>
      <c r="Q24" s="90"/>
      <c r="S24" s="91">
        <f>P24/(O24/60)</f>
        <v>5</v>
      </c>
      <c r="T24" s="92" t="s">
        <v>929</v>
      </c>
    </row>
    <row r="25" spans="1:20" x14ac:dyDescent="0.25">
      <c r="F25" s="12" t="s">
        <v>906</v>
      </c>
      <c r="H25" s="11" t="s">
        <v>510</v>
      </c>
      <c r="N25" s="40">
        <f>Benefit_In!N62</f>
        <v>7.4957510000000005E-2</v>
      </c>
      <c r="O25" s="22">
        <f>Benefit_In!N70</f>
        <v>32.01</v>
      </c>
      <c r="P25" s="21">
        <f>Benefit_In!N75</f>
        <v>10.67</v>
      </c>
      <c r="Q25" s="90"/>
      <c r="S25" s="91">
        <f>P25/(O25/60)</f>
        <v>20</v>
      </c>
      <c r="T25" s="92" t="s">
        <v>930</v>
      </c>
    </row>
    <row r="26" spans="1:20" x14ac:dyDescent="0.25">
      <c r="H26" s="11"/>
    </row>
    <row r="27" spans="1:20" x14ac:dyDescent="0.25">
      <c r="F27" s="45" t="str">
        <f>Benefit_In!F51</f>
        <v>Trail use scale up</v>
      </c>
      <c r="H27" s="11"/>
    </row>
    <row r="28" spans="1:20" x14ac:dyDescent="0.25">
      <c r="F28" s="12" t="str">
        <f>Benefit_In!F52</f>
        <v>Base case - average trail use per year (for trail users only)</v>
      </c>
      <c r="H28" s="11" t="str">
        <f>Benefit_In!H52</f>
        <v>#</v>
      </c>
      <c r="N28" s="22">
        <f>Benefit_In!N52</f>
        <v>113</v>
      </c>
    </row>
    <row r="29" spans="1:20" x14ac:dyDescent="0.25">
      <c r="F29" s="12" t="str">
        <f>Benefit_In!F55</f>
        <v>Project case (23%) - average trail use per day if 23% improvements made</v>
      </c>
      <c r="H29" s="11" t="str">
        <f>Benefit_In!H55</f>
        <v>#</v>
      </c>
      <c r="N29" s="22">
        <f>Benefit_In!N55</f>
        <v>126.72949999999999</v>
      </c>
    </row>
    <row r="30" spans="1:20" x14ac:dyDescent="0.25">
      <c r="H30" s="11"/>
    </row>
    <row r="31" spans="1:20" x14ac:dyDescent="0.25">
      <c r="H31" s="11"/>
    </row>
    <row r="32" spans="1:20" s="13" customFormat="1" x14ac:dyDescent="0.25">
      <c r="A32" s="12"/>
      <c r="B32" s="12"/>
      <c r="C32" s="12"/>
      <c r="D32" s="13" t="s">
        <v>513</v>
      </c>
    </row>
    <row r="34" spans="1:44" x14ac:dyDescent="0.25">
      <c r="M34" s="53" t="s">
        <v>516</v>
      </c>
      <c r="N34" s="106" t="s">
        <v>517</v>
      </c>
      <c r="O34" s="106"/>
      <c r="P34" s="106"/>
      <c r="Q34" s="106"/>
      <c r="R34" s="106"/>
      <c r="S34" s="106"/>
      <c r="T34" s="106"/>
      <c r="U34" s="106"/>
      <c r="V34" s="106"/>
      <c r="W34" s="53" t="s">
        <v>516</v>
      </c>
      <c r="X34" s="106" t="s">
        <v>517</v>
      </c>
      <c r="Y34" s="106"/>
      <c r="Z34" s="106"/>
      <c r="AA34" s="106"/>
      <c r="AB34" s="106"/>
      <c r="AC34" s="106"/>
      <c r="AD34" s="106"/>
      <c r="AE34" s="106"/>
      <c r="AF34" s="106"/>
      <c r="AG34" s="53" t="s">
        <v>516</v>
      </c>
      <c r="AH34" s="106" t="s">
        <v>517</v>
      </c>
      <c r="AI34" s="106"/>
      <c r="AJ34" s="106"/>
      <c r="AK34" s="106"/>
      <c r="AL34" s="106"/>
      <c r="AM34" s="106"/>
      <c r="AN34" s="106"/>
      <c r="AO34" s="106"/>
      <c r="AP34" s="106"/>
      <c r="AQ34" s="53" t="s">
        <v>516</v>
      </c>
      <c r="AR34" s="54" t="s">
        <v>518</v>
      </c>
    </row>
    <row r="35" spans="1:44" x14ac:dyDescent="0.25">
      <c r="F35" s="12" t="s">
        <v>514</v>
      </c>
      <c r="M35" s="22">
        <f>N15</f>
        <v>373728</v>
      </c>
      <c r="N35" s="22">
        <f t="shared" ref="N35:V35" si="0">M35+(($W$35-$M$35)/($W$5-2021))</f>
        <v>379527.4</v>
      </c>
      <c r="O35" s="22">
        <f t="shared" si="0"/>
        <v>385326.80000000005</v>
      </c>
      <c r="P35" s="22">
        <f t="shared" si="0"/>
        <v>391126.20000000007</v>
      </c>
      <c r="Q35" s="22">
        <f t="shared" si="0"/>
        <v>396925.60000000009</v>
      </c>
      <c r="R35" s="22">
        <f t="shared" si="0"/>
        <v>402725.00000000012</v>
      </c>
      <c r="S35" s="22">
        <f t="shared" si="0"/>
        <v>408524.40000000014</v>
      </c>
      <c r="T35" s="22">
        <f t="shared" si="0"/>
        <v>414323.80000000016</v>
      </c>
      <c r="U35" s="22">
        <f t="shared" si="0"/>
        <v>420123.20000000019</v>
      </c>
      <c r="V35" s="22">
        <f t="shared" si="0"/>
        <v>425922.60000000021</v>
      </c>
      <c r="W35" s="22">
        <f>O15</f>
        <v>431722</v>
      </c>
      <c r="X35" s="22">
        <f t="shared" ref="X35:AF35" si="1">W35+(($AG$35-$W$35)/($AG$5-$W$5))</f>
        <v>437488.4</v>
      </c>
      <c r="Y35" s="22">
        <f t="shared" si="1"/>
        <v>443254.80000000005</v>
      </c>
      <c r="Z35" s="22">
        <f t="shared" si="1"/>
        <v>449021.20000000007</v>
      </c>
      <c r="AA35" s="22">
        <f t="shared" si="1"/>
        <v>454787.60000000009</v>
      </c>
      <c r="AB35" s="22">
        <f t="shared" si="1"/>
        <v>460554.00000000012</v>
      </c>
      <c r="AC35" s="22">
        <f t="shared" si="1"/>
        <v>466320.40000000014</v>
      </c>
      <c r="AD35" s="22">
        <f t="shared" si="1"/>
        <v>472086.80000000016</v>
      </c>
      <c r="AE35" s="22">
        <f t="shared" si="1"/>
        <v>477853.20000000019</v>
      </c>
      <c r="AF35" s="22">
        <f t="shared" si="1"/>
        <v>483619.60000000021</v>
      </c>
      <c r="AG35" s="22">
        <f>P15</f>
        <v>489386</v>
      </c>
      <c r="AH35" s="22">
        <f t="shared" ref="AH35:AP35" si="2">AG35+(($AQ$35-$AG$35)/($AQ$5-$AG$5))</f>
        <v>496029.7</v>
      </c>
      <c r="AI35" s="22">
        <f t="shared" si="2"/>
        <v>502673.4</v>
      </c>
      <c r="AJ35" s="22">
        <f t="shared" si="2"/>
        <v>509317.10000000003</v>
      </c>
      <c r="AK35" s="22">
        <f t="shared" si="2"/>
        <v>515960.80000000005</v>
      </c>
      <c r="AL35" s="22">
        <f t="shared" si="2"/>
        <v>522604.50000000006</v>
      </c>
      <c r="AM35" s="22">
        <f t="shared" si="2"/>
        <v>529248.20000000007</v>
      </c>
      <c r="AN35" s="22">
        <f t="shared" si="2"/>
        <v>535891.9</v>
      </c>
      <c r="AO35" s="22">
        <f t="shared" si="2"/>
        <v>542535.6</v>
      </c>
      <c r="AP35" s="22">
        <f t="shared" si="2"/>
        <v>549179.29999999993</v>
      </c>
      <c r="AQ35" s="22">
        <f>Q15</f>
        <v>555823</v>
      </c>
      <c r="AR35" s="22">
        <f>AQ35</f>
        <v>555823</v>
      </c>
    </row>
    <row r="36" spans="1:44" x14ac:dyDescent="0.25">
      <c r="F36" s="12" t="s">
        <v>515</v>
      </c>
      <c r="M36" s="22">
        <f>N16</f>
        <v>455604</v>
      </c>
      <c r="N36" s="22">
        <f t="shared" ref="N36:V36" si="3">M36+(($W$36-$M$36)/($W$5-2021))</f>
        <v>463192.9</v>
      </c>
      <c r="O36" s="22">
        <f t="shared" si="3"/>
        <v>470781.80000000005</v>
      </c>
      <c r="P36" s="22">
        <f t="shared" si="3"/>
        <v>478370.70000000007</v>
      </c>
      <c r="Q36" s="22">
        <f t="shared" si="3"/>
        <v>485959.60000000009</v>
      </c>
      <c r="R36" s="22">
        <f t="shared" si="3"/>
        <v>493548.50000000012</v>
      </c>
      <c r="S36" s="22">
        <f t="shared" si="3"/>
        <v>501137.40000000014</v>
      </c>
      <c r="T36" s="22">
        <f t="shared" si="3"/>
        <v>508726.30000000016</v>
      </c>
      <c r="U36" s="22">
        <f t="shared" si="3"/>
        <v>516315.20000000019</v>
      </c>
      <c r="V36" s="22">
        <f t="shared" si="3"/>
        <v>523904.10000000021</v>
      </c>
      <c r="W36" s="22">
        <f>O16</f>
        <v>531493</v>
      </c>
      <c r="X36" s="22">
        <f t="shared" ref="X36:AF36" si="4">W36+(($AG$36-$W$36)/($AG$5-$W$5))</f>
        <v>539328.6</v>
      </c>
      <c r="Y36" s="22">
        <f t="shared" si="4"/>
        <v>547164.19999999995</v>
      </c>
      <c r="Z36" s="22">
        <f t="shared" si="4"/>
        <v>554999.79999999993</v>
      </c>
      <c r="AA36" s="22">
        <f t="shared" si="4"/>
        <v>562835.39999999991</v>
      </c>
      <c r="AB36" s="22">
        <f t="shared" si="4"/>
        <v>570670.99999999988</v>
      </c>
      <c r="AC36" s="22">
        <f t="shared" si="4"/>
        <v>578506.59999999986</v>
      </c>
      <c r="AD36" s="22">
        <f t="shared" si="4"/>
        <v>586342.19999999984</v>
      </c>
      <c r="AE36" s="22">
        <f t="shared" si="4"/>
        <v>594177.79999999981</v>
      </c>
      <c r="AF36" s="22">
        <f t="shared" si="4"/>
        <v>602013.39999999979</v>
      </c>
      <c r="AG36" s="22">
        <f>P16</f>
        <v>609849</v>
      </c>
      <c r="AH36" s="22">
        <f t="shared" ref="AH36:AP36" si="5">AG36+(($AQ$36-$AG$36)/($AQ$5-$AG$5))</f>
        <v>618440.1</v>
      </c>
      <c r="AI36" s="22">
        <f t="shared" si="5"/>
        <v>627031.19999999995</v>
      </c>
      <c r="AJ36" s="22">
        <f t="shared" si="5"/>
        <v>635622.29999999993</v>
      </c>
      <c r="AK36" s="22">
        <f t="shared" si="5"/>
        <v>644213.39999999991</v>
      </c>
      <c r="AL36" s="22">
        <f t="shared" si="5"/>
        <v>652804.49999999988</v>
      </c>
      <c r="AM36" s="22">
        <f t="shared" si="5"/>
        <v>661395.59999999986</v>
      </c>
      <c r="AN36" s="22">
        <f t="shared" si="5"/>
        <v>669986.69999999984</v>
      </c>
      <c r="AO36" s="22">
        <f t="shared" si="5"/>
        <v>678577.79999999981</v>
      </c>
      <c r="AP36" s="22">
        <f t="shared" si="5"/>
        <v>687168.89999999979</v>
      </c>
      <c r="AQ36" s="22">
        <f>Q16</f>
        <v>695760</v>
      </c>
      <c r="AR36" s="22">
        <f>AQ36</f>
        <v>695760</v>
      </c>
    </row>
    <row r="38" spans="1:44" s="13" customFormat="1" x14ac:dyDescent="0.25">
      <c r="A38" s="12"/>
      <c r="B38" s="12"/>
      <c r="C38" s="12"/>
      <c r="D38" s="13" t="s">
        <v>886</v>
      </c>
    </row>
    <row r="40" spans="1:44" ht="11" thickBot="1" x14ac:dyDescent="0.3">
      <c r="E40" s="1" t="s">
        <v>468</v>
      </c>
      <c r="F40" s="1"/>
    </row>
    <row r="41" spans="1:44" x14ac:dyDescent="0.25">
      <c r="N41" s="62"/>
    </row>
    <row r="42" spans="1:44" x14ac:dyDescent="0.25">
      <c r="F42" s="12" t="s">
        <v>66</v>
      </c>
      <c r="H42" s="12">
        <f>SUM(M42:AR42)</f>
        <v>114162586.27468604</v>
      </c>
      <c r="M42" s="22">
        <f>(M35/$M$35)*$N$19*$N$22*$P$22</f>
        <v>2867431.4141909941</v>
      </c>
      <c r="N42" s="22">
        <f t="shared" ref="N42:AR42" si="6">(N35/$M$35)*$N$19*$N$22*$P$22</f>
        <v>2911927.3624299783</v>
      </c>
      <c r="O42" s="22">
        <f t="shared" si="6"/>
        <v>2956423.3106689635</v>
      </c>
      <c r="P42" s="22">
        <f t="shared" si="6"/>
        <v>3000919.2589079477</v>
      </c>
      <c r="Q42" s="22">
        <f t="shared" si="6"/>
        <v>3045415.2071469328</v>
      </c>
      <c r="R42" s="22">
        <f t="shared" si="6"/>
        <v>3089911.1553859175</v>
      </c>
      <c r="S42" s="22">
        <f t="shared" si="6"/>
        <v>3134407.1036249027</v>
      </c>
      <c r="T42" s="22">
        <f t="shared" si="6"/>
        <v>3178903.0518638873</v>
      </c>
      <c r="U42" s="22">
        <f t="shared" si="6"/>
        <v>3223399.0001028725</v>
      </c>
      <c r="V42" s="22">
        <f t="shared" si="6"/>
        <v>3267894.9483418572</v>
      </c>
      <c r="W42" s="22">
        <f t="shared" si="6"/>
        <v>3312390.89658084</v>
      </c>
      <c r="X42" s="22">
        <f t="shared" si="6"/>
        <v>3356633.6520254174</v>
      </c>
      <c r="Y42" s="22">
        <f t="shared" si="6"/>
        <v>3400876.4074699949</v>
      </c>
      <c r="Z42" s="22">
        <f t="shared" si="6"/>
        <v>3445119.1629145723</v>
      </c>
      <c r="AA42" s="22">
        <f t="shared" si="6"/>
        <v>3489361.9183591502</v>
      </c>
      <c r="AB42" s="22">
        <f t="shared" si="6"/>
        <v>3533604.6738037271</v>
      </c>
      <c r="AC42" s="22">
        <f t="shared" si="6"/>
        <v>3577847.429248305</v>
      </c>
      <c r="AD42" s="22">
        <f t="shared" si="6"/>
        <v>3622090.1846928815</v>
      </c>
      <c r="AE42" s="22">
        <f t="shared" si="6"/>
        <v>3666332.940137459</v>
      </c>
      <c r="AF42" s="22">
        <f t="shared" si="6"/>
        <v>3710575.6955820364</v>
      </c>
      <c r="AG42" s="22">
        <f t="shared" si="6"/>
        <v>3754818.451026612</v>
      </c>
      <c r="AH42" s="22">
        <f t="shared" si="6"/>
        <v>3805792.2985479669</v>
      </c>
      <c r="AI42" s="22">
        <f t="shared" si="6"/>
        <v>3856766.1460693213</v>
      </c>
      <c r="AJ42" s="22">
        <f t="shared" si="6"/>
        <v>3907739.9935906753</v>
      </c>
      <c r="AK42" s="22">
        <f t="shared" si="6"/>
        <v>3958713.8411120302</v>
      </c>
      <c r="AL42" s="22">
        <f t="shared" si="6"/>
        <v>4009687.6886333837</v>
      </c>
      <c r="AM42" s="22">
        <f t="shared" si="6"/>
        <v>4060661.5361547382</v>
      </c>
      <c r="AN42" s="22">
        <f t="shared" si="6"/>
        <v>4111635.3836760921</v>
      </c>
      <c r="AO42" s="22">
        <f t="shared" si="6"/>
        <v>4162609.2311974466</v>
      </c>
      <c r="AP42" s="22">
        <f t="shared" si="6"/>
        <v>4213583.0787188001</v>
      </c>
      <c r="AQ42" s="22">
        <f t="shared" si="6"/>
        <v>4264556.9262401555</v>
      </c>
      <c r="AR42" s="22">
        <f t="shared" si="6"/>
        <v>4264556.9262401555</v>
      </c>
    </row>
    <row r="43" spans="1:44" x14ac:dyDescent="0.25">
      <c r="F43" s="12" t="s">
        <v>522</v>
      </c>
      <c r="H43" s="12">
        <f t="shared" ref="H43:H46" si="7">SUM(M43:AR43)</f>
        <v>128033340.50706039</v>
      </c>
      <c r="I43" s="14">
        <f>H43/H42</f>
        <v>1.1214999999999999</v>
      </c>
      <c r="M43" s="22">
        <f>(M35/$M$35)*$N$19*$N$22*$P$22*($N$29/$N$28)</f>
        <v>3215824.3310151999</v>
      </c>
      <c r="N43" s="22">
        <f t="shared" ref="N43:AR43" si="8">(N35/$M$35)*$N$19*$N$22*$P$22*($N$29/$N$28)</f>
        <v>3265726.5369652207</v>
      </c>
      <c r="O43" s="22">
        <f t="shared" si="8"/>
        <v>3315628.7429152424</v>
      </c>
      <c r="P43" s="22">
        <f t="shared" si="8"/>
        <v>3365530.9488652633</v>
      </c>
      <c r="Q43" s="22">
        <f t="shared" si="8"/>
        <v>3415433.154815285</v>
      </c>
      <c r="R43" s="22">
        <f t="shared" si="8"/>
        <v>3465335.3607653063</v>
      </c>
      <c r="S43" s="22">
        <f t="shared" si="8"/>
        <v>3515237.566715328</v>
      </c>
      <c r="T43" s="22">
        <f t="shared" si="8"/>
        <v>3565139.7726653493</v>
      </c>
      <c r="U43" s="22">
        <f t="shared" si="8"/>
        <v>3615041.9786153715</v>
      </c>
      <c r="V43" s="22">
        <f t="shared" si="8"/>
        <v>3664944.1845653928</v>
      </c>
      <c r="W43" s="22">
        <f t="shared" si="8"/>
        <v>3714846.3905154117</v>
      </c>
      <c r="X43" s="22">
        <f t="shared" si="8"/>
        <v>3764464.6407465055</v>
      </c>
      <c r="Y43" s="22">
        <f t="shared" si="8"/>
        <v>3814082.8909775992</v>
      </c>
      <c r="Z43" s="22">
        <f t="shared" si="8"/>
        <v>3863701.1412086925</v>
      </c>
      <c r="AA43" s="22">
        <f t="shared" si="8"/>
        <v>3913319.3914397866</v>
      </c>
      <c r="AB43" s="22">
        <f t="shared" si="8"/>
        <v>3962937.6416708799</v>
      </c>
      <c r="AC43" s="22">
        <f t="shared" si="8"/>
        <v>4012555.8919019741</v>
      </c>
      <c r="AD43" s="22">
        <f t="shared" si="8"/>
        <v>4062174.1421330664</v>
      </c>
      <c r="AE43" s="22">
        <f t="shared" si="8"/>
        <v>4111792.3923641602</v>
      </c>
      <c r="AF43" s="22">
        <f t="shared" si="8"/>
        <v>4161410.6425952534</v>
      </c>
      <c r="AG43" s="22">
        <f t="shared" si="8"/>
        <v>4211028.8928263448</v>
      </c>
      <c r="AH43" s="22">
        <f t="shared" si="8"/>
        <v>4268196.0628215447</v>
      </c>
      <c r="AI43" s="22">
        <f t="shared" si="8"/>
        <v>4325363.2328167437</v>
      </c>
      <c r="AJ43" s="22">
        <f t="shared" si="8"/>
        <v>4382530.4028119417</v>
      </c>
      <c r="AK43" s="22">
        <f t="shared" si="8"/>
        <v>4439697.5728071416</v>
      </c>
      <c r="AL43" s="22">
        <f t="shared" si="8"/>
        <v>4496864.7428023396</v>
      </c>
      <c r="AM43" s="22">
        <f t="shared" si="8"/>
        <v>4554031.9127975386</v>
      </c>
      <c r="AN43" s="22">
        <f t="shared" si="8"/>
        <v>4611199.0827927375</v>
      </c>
      <c r="AO43" s="22">
        <f t="shared" si="8"/>
        <v>4668366.2527879365</v>
      </c>
      <c r="AP43" s="22">
        <f t="shared" si="8"/>
        <v>4725533.4227831345</v>
      </c>
      <c r="AQ43" s="22">
        <f t="shared" si="8"/>
        <v>4782700.5927783344</v>
      </c>
      <c r="AR43" s="22">
        <f t="shared" si="8"/>
        <v>4782700.5927783344</v>
      </c>
    </row>
    <row r="44" spans="1:44" x14ac:dyDescent="0.25">
      <c r="F44" s="12" t="s">
        <v>523</v>
      </c>
      <c r="H44" s="12">
        <f t="shared" si="7"/>
        <v>31174764.487953879</v>
      </c>
      <c r="I44" s="14">
        <f>(H42+H44)/H42</f>
        <v>1.273073390374535</v>
      </c>
      <c r="M44" s="22">
        <f>(M36/$M$36)*$N$19*$N$22*$P$22*($N$29/$N$28)*((M36-M35)/M35)</f>
        <v>704519.95281648822</v>
      </c>
      <c r="N44" s="22">
        <f t="shared" ref="N44:AR44" si="9">(N36/$M$36)*$N$19*$N$22*$P$22*($N$29/$N$28)*((N36-N35)/N35)</f>
        <v>720725.61550978187</v>
      </c>
      <c r="O44" s="22">
        <f t="shared" si="9"/>
        <v>736940.99463656452</v>
      </c>
      <c r="P44" s="22">
        <f t="shared" si="9"/>
        <v>753165.65798735199</v>
      </c>
      <c r="Q44" s="22">
        <f t="shared" si="9"/>
        <v>769399.19861236319</v>
      </c>
      <c r="R44" s="22">
        <f t="shared" si="9"/>
        <v>785641.23300277069</v>
      </c>
      <c r="S44" s="22">
        <f t="shared" si="9"/>
        <v>801891.39942686632</v>
      </c>
      <c r="T44" s="22">
        <f t="shared" si="9"/>
        <v>818149.35640595993</v>
      </c>
      <c r="U44" s="22">
        <f t="shared" si="9"/>
        <v>834414.78131651192</v>
      </c>
      <c r="V44" s="22">
        <f t="shared" si="9"/>
        <v>850687.36910646502</v>
      </c>
      <c r="W44" s="22">
        <f t="shared" si="9"/>
        <v>866966.83111504186</v>
      </c>
      <c r="X44" s="22">
        <f t="shared" si="9"/>
        <v>886157.54763398168</v>
      </c>
      <c r="Y44" s="22">
        <f t="shared" si="9"/>
        <v>905365.31570624362</v>
      </c>
      <c r="Z44" s="22">
        <f t="shared" si="9"/>
        <v>924589.47839573841</v>
      </c>
      <c r="AA44" s="22">
        <f t="shared" si="9"/>
        <v>943829.41208440182</v>
      </c>
      <c r="AB44" s="22">
        <f t="shared" si="9"/>
        <v>963084.52438639314</v>
      </c>
      <c r="AC44" s="22">
        <f t="shared" si="9"/>
        <v>982354.25221704366</v>
      </c>
      <c r="AD44" s="22">
        <f t="shared" si="9"/>
        <v>1001638.0600033333</v>
      </c>
      <c r="AE44" s="22">
        <f t="shared" si="9"/>
        <v>1020935.4380239322</v>
      </c>
      <c r="AF44" s="22">
        <f t="shared" si="9"/>
        <v>1040245.9008679979</v>
      </c>
      <c r="AG44" s="22">
        <f t="shared" si="9"/>
        <v>1059568.9860029372</v>
      </c>
      <c r="AH44" s="22">
        <f t="shared" si="9"/>
        <v>1077241.476250784</v>
      </c>
      <c r="AI44" s="22">
        <f t="shared" si="9"/>
        <v>1094916.6644002551</v>
      </c>
      <c r="AJ44" s="22">
        <f t="shared" si="9"/>
        <v>1112594.4448743996</v>
      </c>
      <c r="AK44" s="22">
        <f t="shared" si="9"/>
        <v>1130274.7175340545</v>
      </c>
      <c r="AL44" s="22">
        <f t="shared" si="9"/>
        <v>1147957.3873322026</v>
      </c>
      <c r="AM44" s="22">
        <f t="shared" si="9"/>
        <v>1165642.3639943637</v>
      </c>
      <c r="AN44" s="22">
        <f t="shared" si="9"/>
        <v>1183329.5617227531</v>
      </c>
      <c r="AO44" s="22">
        <f t="shared" si="9"/>
        <v>1201018.8989221849</v>
      </c>
      <c r="AP44" s="22">
        <f t="shared" si="9"/>
        <v>1218710.2979458666</v>
      </c>
      <c r="AQ44" s="22">
        <f t="shared" si="9"/>
        <v>1236403.6848594253</v>
      </c>
      <c r="AR44" s="22">
        <f t="shared" si="9"/>
        <v>1236403.6848594253</v>
      </c>
    </row>
    <row r="45" spans="1:44" x14ac:dyDescent="0.25">
      <c r="F45" s="12" t="s">
        <v>524</v>
      </c>
      <c r="H45" s="12">
        <f t="shared" si="7"/>
        <v>159208104.99501422</v>
      </c>
      <c r="I45" s="14">
        <f>H45/H42</f>
        <v>1.3945733903745345</v>
      </c>
      <c r="M45" s="22">
        <f>SUM(M43:M44)</f>
        <v>3920344.2838316881</v>
      </c>
      <c r="N45" s="22">
        <f>SUM(N43:N44)</f>
        <v>3986452.1524750027</v>
      </c>
      <c r="O45" s="22">
        <f t="shared" ref="O45:AR45" si="10">SUM(O43:O44)</f>
        <v>4052569.737551807</v>
      </c>
      <c r="P45" s="22">
        <f t="shared" si="10"/>
        <v>4118696.6068526153</v>
      </c>
      <c r="Q45" s="22">
        <f t="shared" si="10"/>
        <v>4184832.3534276481</v>
      </c>
      <c r="R45" s="22">
        <f t="shared" si="10"/>
        <v>4250976.593768077</v>
      </c>
      <c r="S45" s="22">
        <f t="shared" si="10"/>
        <v>4317128.9661421943</v>
      </c>
      <c r="T45" s="22">
        <f t="shared" si="10"/>
        <v>4383289.1290713092</v>
      </c>
      <c r="U45" s="22">
        <f t="shared" si="10"/>
        <v>4449456.7599318838</v>
      </c>
      <c r="V45" s="22">
        <f t="shared" si="10"/>
        <v>4515631.5536718573</v>
      </c>
      <c r="W45" s="22">
        <f t="shared" si="10"/>
        <v>4581813.2216304541</v>
      </c>
      <c r="X45" s="22">
        <f t="shared" si="10"/>
        <v>4650622.1883804873</v>
      </c>
      <c r="Y45" s="22">
        <f t="shared" si="10"/>
        <v>4719448.2066838425</v>
      </c>
      <c r="Z45" s="22">
        <f t="shared" si="10"/>
        <v>4788290.6196044311</v>
      </c>
      <c r="AA45" s="22">
        <f t="shared" si="10"/>
        <v>4857148.8035241887</v>
      </c>
      <c r="AB45" s="22">
        <f t="shared" si="10"/>
        <v>4926022.1660572728</v>
      </c>
      <c r="AC45" s="22">
        <f t="shared" si="10"/>
        <v>4994910.1441190178</v>
      </c>
      <c r="AD45" s="22">
        <f t="shared" si="10"/>
        <v>5063812.2021363992</v>
      </c>
      <c r="AE45" s="22">
        <f t="shared" si="10"/>
        <v>5132727.8303880924</v>
      </c>
      <c r="AF45" s="22">
        <f t="shared" si="10"/>
        <v>5201656.5434632516</v>
      </c>
      <c r="AG45" s="22">
        <f t="shared" si="10"/>
        <v>5270597.8788292818</v>
      </c>
      <c r="AH45" s="22">
        <f t="shared" si="10"/>
        <v>5345437.5390723292</v>
      </c>
      <c r="AI45" s="22">
        <f t="shared" si="10"/>
        <v>5420279.897216999</v>
      </c>
      <c r="AJ45" s="22">
        <f t="shared" si="10"/>
        <v>5495124.847686341</v>
      </c>
      <c r="AK45" s="22">
        <f t="shared" si="10"/>
        <v>5569972.2903411966</v>
      </c>
      <c r="AL45" s="22">
        <f t="shared" si="10"/>
        <v>5644822.1301345425</v>
      </c>
      <c r="AM45" s="22">
        <f t="shared" si="10"/>
        <v>5719674.2767919023</v>
      </c>
      <c r="AN45" s="22">
        <f t="shared" si="10"/>
        <v>5794528.6445154902</v>
      </c>
      <c r="AO45" s="22">
        <f t="shared" si="10"/>
        <v>5869385.151710121</v>
      </c>
      <c r="AP45" s="22">
        <f t="shared" si="10"/>
        <v>5944243.7207290009</v>
      </c>
      <c r="AQ45" s="22">
        <f t="shared" si="10"/>
        <v>6019104.2776377592</v>
      </c>
      <c r="AR45" s="22">
        <f t="shared" si="10"/>
        <v>6019104.2776377592</v>
      </c>
    </row>
    <row r="46" spans="1:44" x14ac:dyDescent="0.25">
      <c r="F46" s="12" t="s">
        <v>467</v>
      </c>
      <c r="H46" s="12">
        <f t="shared" si="7"/>
        <v>45045518.720328227</v>
      </c>
      <c r="M46" s="22">
        <f>M45-M42</f>
        <v>1052912.869640694</v>
      </c>
      <c r="N46" s="22">
        <f>N45-N42</f>
        <v>1074524.7900450244</v>
      </c>
      <c r="O46" s="22">
        <f t="shared" ref="O46:AR46" si="11">O45-O42</f>
        <v>1096146.4268828435</v>
      </c>
      <c r="P46" s="22">
        <f t="shared" si="11"/>
        <v>1117777.3479446676</v>
      </c>
      <c r="Q46" s="22">
        <f t="shared" si="11"/>
        <v>1139417.1462807152</v>
      </c>
      <c r="R46" s="22">
        <f t="shared" si="11"/>
        <v>1161065.4383821595</v>
      </c>
      <c r="S46" s="22">
        <f t="shared" si="11"/>
        <v>1182721.8625172917</v>
      </c>
      <c r="T46" s="22">
        <f t="shared" si="11"/>
        <v>1204386.0772074219</v>
      </c>
      <c r="U46" s="22">
        <f t="shared" si="11"/>
        <v>1226057.7598290113</v>
      </c>
      <c r="V46" s="22">
        <f t="shared" si="11"/>
        <v>1247736.6053300002</v>
      </c>
      <c r="W46" s="22">
        <f t="shared" si="11"/>
        <v>1269422.3250496141</v>
      </c>
      <c r="X46" s="22">
        <f t="shared" si="11"/>
        <v>1293988.5363550698</v>
      </c>
      <c r="Y46" s="22">
        <f t="shared" si="11"/>
        <v>1318571.7992138476</v>
      </c>
      <c r="Z46" s="22">
        <f t="shared" si="11"/>
        <v>1343171.4566898588</v>
      </c>
      <c r="AA46" s="22">
        <f t="shared" si="11"/>
        <v>1367786.8851650385</v>
      </c>
      <c r="AB46" s="22">
        <f t="shared" si="11"/>
        <v>1392417.4922535457</v>
      </c>
      <c r="AC46" s="22">
        <f t="shared" si="11"/>
        <v>1417062.7148707127</v>
      </c>
      <c r="AD46" s="22">
        <f t="shared" si="11"/>
        <v>1441722.0174435177</v>
      </c>
      <c r="AE46" s="22">
        <f t="shared" si="11"/>
        <v>1466394.8902506335</v>
      </c>
      <c r="AF46" s="22">
        <f t="shared" si="11"/>
        <v>1491080.8478812152</v>
      </c>
      <c r="AG46" s="22">
        <f t="shared" si="11"/>
        <v>1515779.4278026698</v>
      </c>
      <c r="AH46" s="22">
        <f t="shared" si="11"/>
        <v>1539645.2405243623</v>
      </c>
      <c r="AI46" s="22">
        <f t="shared" si="11"/>
        <v>1563513.7511476777</v>
      </c>
      <c r="AJ46" s="22">
        <f t="shared" si="11"/>
        <v>1587384.8540956657</v>
      </c>
      <c r="AK46" s="22">
        <f t="shared" si="11"/>
        <v>1611258.4492291664</v>
      </c>
      <c r="AL46" s="22">
        <f t="shared" si="11"/>
        <v>1635134.4415011588</v>
      </c>
      <c r="AM46" s="22">
        <f t="shared" si="11"/>
        <v>1659012.7406371641</v>
      </c>
      <c r="AN46" s="22">
        <f t="shared" si="11"/>
        <v>1682893.260839398</v>
      </c>
      <c r="AO46" s="22">
        <f t="shared" si="11"/>
        <v>1706775.9205126744</v>
      </c>
      <c r="AP46" s="22">
        <f t="shared" si="11"/>
        <v>1730660.6420102008</v>
      </c>
      <c r="AQ46" s="22">
        <f t="shared" si="11"/>
        <v>1754547.3513976038</v>
      </c>
      <c r="AR46" s="22">
        <f t="shared" si="11"/>
        <v>1754547.3513976038</v>
      </c>
    </row>
    <row r="48" spans="1:44" ht="11" thickBot="1" x14ac:dyDescent="0.3">
      <c r="E48" s="1" t="s">
        <v>469</v>
      </c>
      <c r="F48" s="1"/>
    </row>
    <row r="50" spans="1:44" x14ac:dyDescent="0.25">
      <c r="F50" s="12" t="s">
        <v>66</v>
      </c>
      <c r="H50" s="12">
        <f>SUM(M50:AR50)</f>
        <v>544929894.6850096</v>
      </c>
      <c r="M50" s="22">
        <f>(M35/$M$35)*$N$19*$N$23*$P$23</f>
        <v>13687050.631385883</v>
      </c>
      <c r="N50" s="22">
        <f t="shared" ref="N50:AR50" si="12">(N35/$M$35)*$N$19*$N$23*$P$23</f>
        <v>13899442.214118937</v>
      </c>
      <c r="O50" s="22">
        <f t="shared" si="12"/>
        <v>14111833.796851994</v>
      </c>
      <c r="P50" s="22">
        <f t="shared" si="12"/>
        <v>14324225.37958505</v>
      </c>
      <c r="Q50" s="22">
        <f t="shared" si="12"/>
        <v>14536616.962318107</v>
      </c>
      <c r="R50" s="22">
        <f t="shared" si="12"/>
        <v>14749008.545051163</v>
      </c>
      <c r="S50" s="22">
        <f t="shared" si="12"/>
        <v>14961400.127784219</v>
      </c>
      <c r="T50" s="22">
        <f t="shared" si="12"/>
        <v>15173791.710517274</v>
      </c>
      <c r="U50" s="22">
        <f t="shared" si="12"/>
        <v>15386183.293250334</v>
      </c>
      <c r="V50" s="22">
        <f t="shared" si="12"/>
        <v>15598574.875983387</v>
      </c>
      <c r="W50" s="22">
        <f t="shared" si="12"/>
        <v>15810966.458716435</v>
      </c>
      <c r="X50" s="22">
        <f t="shared" si="12"/>
        <v>16022149.481558781</v>
      </c>
      <c r="Y50" s="22">
        <f t="shared" si="12"/>
        <v>16233332.504401125</v>
      </c>
      <c r="Z50" s="22">
        <f t="shared" si="12"/>
        <v>16444515.527243471</v>
      </c>
      <c r="AA50" s="22">
        <f t="shared" si="12"/>
        <v>16655698.550085818</v>
      </c>
      <c r="AB50" s="22">
        <f t="shared" si="12"/>
        <v>16866881.57292816</v>
      </c>
      <c r="AC50" s="22">
        <f t="shared" si="12"/>
        <v>17078064.595770508</v>
      </c>
      <c r="AD50" s="22">
        <f t="shared" si="12"/>
        <v>17289247.618612848</v>
      </c>
      <c r="AE50" s="22">
        <f t="shared" si="12"/>
        <v>17500430.641455192</v>
      </c>
      <c r="AF50" s="22">
        <f t="shared" si="12"/>
        <v>17711613.66429754</v>
      </c>
      <c r="AG50" s="22">
        <f t="shared" si="12"/>
        <v>17922796.687139876</v>
      </c>
      <c r="AH50" s="22">
        <f t="shared" si="12"/>
        <v>18166109.091561645</v>
      </c>
      <c r="AI50" s="22">
        <f t="shared" si="12"/>
        <v>18409421.495983414</v>
      </c>
      <c r="AJ50" s="22">
        <f t="shared" si="12"/>
        <v>18652733.900405183</v>
      </c>
      <c r="AK50" s="22">
        <f t="shared" si="12"/>
        <v>18896046.304826953</v>
      </c>
      <c r="AL50" s="22">
        <f t="shared" si="12"/>
        <v>19139358.709248714</v>
      </c>
      <c r="AM50" s="22">
        <f t="shared" si="12"/>
        <v>19382671.113670483</v>
      </c>
      <c r="AN50" s="22">
        <f t="shared" si="12"/>
        <v>19625983.518092249</v>
      </c>
      <c r="AO50" s="22">
        <f t="shared" si="12"/>
        <v>19869295.922514014</v>
      </c>
      <c r="AP50" s="22">
        <f t="shared" si="12"/>
        <v>20112608.326935783</v>
      </c>
      <c r="AQ50" s="22">
        <f t="shared" si="12"/>
        <v>20355920.731357552</v>
      </c>
      <c r="AR50" s="22">
        <f t="shared" si="12"/>
        <v>20355920.731357552</v>
      </c>
    </row>
    <row r="51" spans="1:44" x14ac:dyDescent="0.25">
      <c r="F51" s="12" t="s">
        <v>522</v>
      </c>
      <c r="H51" s="12">
        <f t="shared" ref="H51:H52" si="13">SUM(M51:AR51)</f>
        <v>611138876.88923824</v>
      </c>
      <c r="I51" s="14">
        <f>H51/H50</f>
        <v>1.1214999999999999</v>
      </c>
      <c r="M51" s="22">
        <f>(M35/$M$35)*$N$19*$N$23*$P$23*($N$29/$N$28)</f>
        <v>15350027.283099268</v>
      </c>
      <c r="N51" s="22">
        <f t="shared" ref="N51:AR51" si="14">(N35/$M$35)*$N$19*$N$23*$P$23*($N$29/$N$28)</f>
        <v>15588224.443134388</v>
      </c>
      <c r="O51" s="22">
        <f t="shared" si="14"/>
        <v>15826421.60316951</v>
      </c>
      <c r="P51" s="22">
        <f t="shared" si="14"/>
        <v>16064618.763204632</v>
      </c>
      <c r="Q51" s="22">
        <f t="shared" si="14"/>
        <v>16302815.923239756</v>
      </c>
      <c r="R51" s="22">
        <f t="shared" si="14"/>
        <v>16541013.083274879</v>
      </c>
      <c r="S51" s="22">
        <f t="shared" si="14"/>
        <v>16779210.243310001</v>
      </c>
      <c r="T51" s="22">
        <f t="shared" si="14"/>
        <v>17017407.403345123</v>
      </c>
      <c r="U51" s="22">
        <f t="shared" si="14"/>
        <v>17255604.563380249</v>
      </c>
      <c r="V51" s="22">
        <f t="shared" si="14"/>
        <v>17493801.723415367</v>
      </c>
      <c r="W51" s="22">
        <f t="shared" si="14"/>
        <v>17731998.883450482</v>
      </c>
      <c r="X51" s="22">
        <f t="shared" si="14"/>
        <v>17968840.643568173</v>
      </c>
      <c r="Y51" s="22">
        <f t="shared" si="14"/>
        <v>18205682.40368586</v>
      </c>
      <c r="Z51" s="22">
        <f t="shared" si="14"/>
        <v>18442524.163803551</v>
      </c>
      <c r="AA51" s="22">
        <f t="shared" si="14"/>
        <v>18679365.923921246</v>
      </c>
      <c r="AB51" s="22">
        <f t="shared" si="14"/>
        <v>18916207.68403893</v>
      </c>
      <c r="AC51" s="22">
        <f t="shared" si="14"/>
        <v>19153049.444156624</v>
      </c>
      <c r="AD51" s="22">
        <f t="shared" si="14"/>
        <v>19389891.204274308</v>
      </c>
      <c r="AE51" s="22">
        <f t="shared" si="14"/>
        <v>19626732.964391995</v>
      </c>
      <c r="AF51" s="22">
        <f t="shared" si="14"/>
        <v>19863574.72450969</v>
      </c>
      <c r="AG51" s="22">
        <f t="shared" si="14"/>
        <v>20100416.48462737</v>
      </c>
      <c r="AH51" s="22">
        <f t="shared" si="14"/>
        <v>20373291.346186385</v>
      </c>
      <c r="AI51" s="22">
        <f t="shared" si="14"/>
        <v>20646166.207745399</v>
      </c>
      <c r="AJ51" s="22">
        <f t="shared" si="14"/>
        <v>20919041.06930441</v>
      </c>
      <c r="AK51" s="22">
        <f t="shared" si="14"/>
        <v>21191915.930863425</v>
      </c>
      <c r="AL51" s="22">
        <f t="shared" si="14"/>
        <v>21464790.792422432</v>
      </c>
      <c r="AM51" s="22">
        <f t="shared" si="14"/>
        <v>21737665.653981447</v>
      </c>
      <c r="AN51" s="22">
        <f t="shared" si="14"/>
        <v>22010540.515540455</v>
      </c>
      <c r="AO51" s="22">
        <f t="shared" si="14"/>
        <v>22283415.377099466</v>
      </c>
      <c r="AP51" s="22">
        <f t="shared" si="14"/>
        <v>22556290.23865848</v>
      </c>
      <c r="AQ51" s="22">
        <f t="shared" si="14"/>
        <v>22829165.100217495</v>
      </c>
      <c r="AR51" s="22">
        <f t="shared" si="14"/>
        <v>22829165.100217495</v>
      </c>
    </row>
    <row r="52" spans="1:44" x14ac:dyDescent="0.25">
      <c r="F52" s="12" t="s">
        <v>523</v>
      </c>
      <c r="H52" s="12">
        <f t="shared" si="13"/>
        <v>148805853.85807398</v>
      </c>
      <c r="I52" s="14">
        <f>(H50+H52)/H50</f>
        <v>1.273073390374535</v>
      </c>
      <c r="M52" s="22">
        <f>(M36/$M$36)*$N$19*$N$23*$P$23*($N$29/$N$28)*((M36-M35)/M35)</f>
        <v>3362870.4133247593</v>
      </c>
      <c r="N52" s="22">
        <f t="shared" ref="N52:AR52" si="15">(N36/$M$36)*$N$19*$N$23*$P$23*($N$29/$N$28)*((N36-N35)/N35)</f>
        <v>3440224.5654417165</v>
      </c>
      <c r="O52" s="22">
        <f t="shared" si="15"/>
        <v>3517625.0968082221</v>
      </c>
      <c r="P52" s="22">
        <f t="shared" si="15"/>
        <v>3595069.9443677487</v>
      </c>
      <c r="Q52" s="22">
        <f t="shared" si="15"/>
        <v>3672557.1656353837</v>
      </c>
      <c r="R52" s="22">
        <f t="shared" si="15"/>
        <v>3750084.9300164334</v>
      </c>
      <c r="S52" s="22">
        <f t="shared" si="15"/>
        <v>3827651.5108644697</v>
      </c>
      <c r="T52" s="22">
        <f t="shared" si="15"/>
        <v>3905255.278206374</v>
      </c>
      <c r="U52" s="22">
        <f t="shared" si="15"/>
        <v>3982894.6920699282</v>
      </c>
      <c r="V52" s="22">
        <f t="shared" si="15"/>
        <v>4060568.2963565015</v>
      </c>
      <c r="W52" s="22">
        <f t="shared" si="15"/>
        <v>4138274.7132076179</v>
      </c>
      <c r="X52" s="22">
        <f t="shared" si="15"/>
        <v>4229877.360562101</v>
      </c>
      <c r="Y52" s="22">
        <f t="shared" si="15"/>
        <v>4321561.399740817</v>
      </c>
      <c r="Z52" s="22">
        <f t="shared" si="15"/>
        <v>4413323.6950044157</v>
      </c>
      <c r="AA52" s="22">
        <f t="shared" si="15"/>
        <v>4505161.2696497859</v>
      </c>
      <c r="AB52" s="22">
        <f t="shared" si="15"/>
        <v>4597071.2960539339</v>
      </c>
      <c r="AC52" s="22">
        <f t="shared" si="15"/>
        <v>4689051.086456541</v>
      </c>
      <c r="AD52" s="22">
        <f t="shared" si="15"/>
        <v>4781098.0844180686</v>
      </c>
      <c r="AE52" s="22">
        <f t="shared" si="15"/>
        <v>4873209.856896312</v>
      </c>
      <c r="AF52" s="22">
        <f t="shared" si="15"/>
        <v>4965384.0868898109</v>
      </c>
      <c r="AG52" s="22">
        <f t="shared" si="15"/>
        <v>5057618.5666013723</v>
      </c>
      <c r="AH52" s="22">
        <f t="shared" si="15"/>
        <v>5141974.2961256634</v>
      </c>
      <c r="AI52" s="22">
        <f t="shared" si="15"/>
        <v>5226342.9034875743</v>
      </c>
      <c r="AJ52" s="22">
        <f t="shared" si="15"/>
        <v>5310723.8847388383</v>
      </c>
      <c r="AK52" s="22">
        <f t="shared" si="15"/>
        <v>5395116.7618872793</v>
      </c>
      <c r="AL52" s="22">
        <f t="shared" si="15"/>
        <v>5479521.0812469535</v>
      </c>
      <c r="AM52" s="22">
        <f t="shared" si="15"/>
        <v>5563936.4119125567</v>
      </c>
      <c r="AN52" s="22">
        <f t="shared" si="15"/>
        <v>5648362.3443473177</v>
      </c>
      <c r="AO52" s="22">
        <f t="shared" si="15"/>
        <v>5732798.4890746344</v>
      </c>
      <c r="AP52" s="22">
        <f t="shared" si="15"/>
        <v>5817244.4754646868</v>
      </c>
      <c r="AQ52" s="22">
        <f t="shared" si="15"/>
        <v>5901699.9506080765</v>
      </c>
      <c r="AR52" s="22">
        <f t="shared" si="15"/>
        <v>5901699.9506080765</v>
      </c>
    </row>
    <row r="53" spans="1:44" x14ac:dyDescent="0.25">
      <c r="F53" s="12" t="s">
        <v>524</v>
      </c>
      <c r="M53" s="22">
        <f>SUM(M51:M52)</f>
        <v>18712897.696424026</v>
      </c>
      <c r="N53" s="22">
        <f>SUM(N51:N52)</f>
        <v>19028449.008576103</v>
      </c>
      <c r="O53" s="22">
        <f t="shared" ref="O53:AR53" si="16">SUM(O51:O52)</f>
        <v>19344046.699977733</v>
      </c>
      <c r="P53" s="22">
        <f t="shared" si="16"/>
        <v>19659688.707572382</v>
      </c>
      <c r="Q53" s="22">
        <f t="shared" si="16"/>
        <v>19975373.088875141</v>
      </c>
      <c r="R53" s="22">
        <f t="shared" si="16"/>
        <v>20291098.013291311</v>
      </c>
      <c r="S53" s="22">
        <f t="shared" si="16"/>
        <v>20606861.754174471</v>
      </c>
      <c r="T53" s="22">
        <f t="shared" si="16"/>
        <v>20922662.681551497</v>
      </c>
      <c r="U53" s="22">
        <f t="shared" si="16"/>
        <v>21238499.255450178</v>
      </c>
      <c r="V53" s="22">
        <f t="shared" si="16"/>
        <v>21554370.01977187</v>
      </c>
      <c r="W53" s="22">
        <f t="shared" si="16"/>
        <v>21870273.596658099</v>
      </c>
      <c r="X53" s="22">
        <f t="shared" si="16"/>
        <v>22198718.004130274</v>
      </c>
      <c r="Y53" s="22">
        <f t="shared" si="16"/>
        <v>22527243.803426675</v>
      </c>
      <c r="Z53" s="22">
        <f t="shared" si="16"/>
        <v>22855847.858807966</v>
      </c>
      <c r="AA53" s="22">
        <f t="shared" si="16"/>
        <v>23184527.193571031</v>
      </c>
      <c r="AB53" s="22">
        <f t="shared" si="16"/>
        <v>23513278.980092864</v>
      </c>
      <c r="AC53" s="22">
        <f t="shared" si="16"/>
        <v>23842100.530613165</v>
      </c>
      <c r="AD53" s="22">
        <f t="shared" si="16"/>
        <v>24170989.288692378</v>
      </c>
      <c r="AE53" s="22">
        <f t="shared" si="16"/>
        <v>24499942.821288306</v>
      </c>
      <c r="AF53" s="22">
        <f t="shared" si="16"/>
        <v>24828958.811399501</v>
      </c>
      <c r="AG53" s="22">
        <f t="shared" si="16"/>
        <v>25158035.051228743</v>
      </c>
      <c r="AH53" s="22">
        <f t="shared" si="16"/>
        <v>25515265.64231205</v>
      </c>
      <c r="AI53" s="22">
        <f t="shared" si="16"/>
        <v>25872509.111232974</v>
      </c>
      <c r="AJ53" s="22">
        <f t="shared" si="16"/>
        <v>26229764.954043247</v>
      </c>
      <c r="AK53" s="22">
        <f t="shared" si="16"/>
        <v>26587032.692750704</v>
      </c>
      <c r="AL53" s="22">
        <f t="shared" si="16"/>
        <v>26944311.873669386</v>
      </c>
      <c r="AM53" s="22">
        <f t="shared" si="16"/>
        <v>27301602.065894004</v>
      </c>
      <c r="AN53" s="22">
        <f t="shared" si="16"/>
        <v>27658902.859887771</v>
      </c>
      <c r="AO53" s="22">
        <f t="shared" si="16"/>
        <v>28016213.866174102</v>
      </c>
      <c r="AP53" s="22">
        <f t="shared" si="16"/>
        <v>28373534.714123167</v>
      </c>
      <c r="AQ53" s="22">
        <f t="shared" si="16"/>
        <v>28730865.050825574</v>
      </c>
      <c r="AR53" s="22">
        <f t="shared" si="16"/>
        <v>28730865.050825574</v>
      </c>
    </row>
    <row r="54" spans="1:44" x14ac:dyDescent="0.25">
      <c r="F54" s="12" t="s">
        <v>467</v>
      </c>
      <c r="M54" s="22">
        <f>M53-M50</f>
        <v>5025847.0650381427</v>
      </c>
      <c r="N54" s="22">
        <f>N53-N50</f>
        <v>5129006.7944571655</v>
      </c>
      <c r="O54" s="22">
        <f t="shared" ref="O54:AR54" si="17">O53-O50</f>
        <v>5232212.9031257387</v>
      </c>
      <c r="P54" s="22">
        <f t="shared" si="17"/>
        <v>5335463.3279873319</v>
      </c>
      <c r="Q54" s="22">
        <f t="shared" si="17"/>
        <v>5438756.1265570335</v>
      </c>
      <c r="R54" s="22">
        <f t="shared" si="17"/>
        <v>5542089.4682401475</v>
      </c>
      <c r="S54" s="22">
        <f t="shared" si="17"/>
        <v>5645461.6263902523</v>
      </c>
      <c r="T54" s="22">
        <f t="shared" si="17"/>
        <v>5748870.9710342232</v>
      </c>
      <c r="U54" s="22">
        <f t="shared" si="17"/>
        <v>5852315.9621998444</v>
      </c>
      <c r="V54" s="22">
        <f t="shared" si="17"/>
        <v>5955795.143788483</v>
      </c>
      <c r="W54" s="22">
        <f t="shared" si="17"/>
        <v>6059307.1379416641</v>
      </c>
      <c r="X54" s="22">
        <f t="shared" si="17"/>
        <v>6176568.5225714929</v>
      </c>
      <c r="Y54" s="22">
        <f t="shared" si="17"/>
        <v>6293911.2990255505</v>
      </c>
      <c r="Z54" s="22">
        <f t="shared" si="17"/>
        <v>6411332.3315644953</v>
      </c>
      <c r="AA54" s="22">
        <f t="shared" si="17"/>
        <v>6528828.6434852127</v>
      </c>
      <c r="AB54" s="22">
        <f t="shared" si="17"/>
        <v>6646397.4071647041</v>
      </c>
      <c r="AC54" s="22">
        <f t="shared" si="17"/>
        <v>6764035.9348426573</v>
      </c>
      <c r="AD54" s="22">
        <f t="shared" si="17"/>
        <v>6881741.6700795293</v>
      </c>
      <c r="AE54" s="22">
        <f t="shared" si="17"/>
        <v>6999512.1798331141</v>
      </c>
      <c r="AF54" s="22">
        <f t="shared" si="17"/>
        <v>7117345.1471019611</v>
      </c>
      <c r="AG54" s="22">
        <f t="shared" si="17"/>
        <v>7235238.3640888669</v>
      </c>
      <c r="AH54" s="22">
        <f t="shared" si="17"/>
        <v>7349156.5507504046</v>
      </c>
      <c r="AI54" s="22">
        <f t="shared" si="17"/>
        <v>7463087.6152495593</v>
      </c>
      <c r="AJ54" s="22">
        <f t="shared" si="17"/>
        <v>7577031.0536380634</v>
      </c>
      <c r="AK54" s="22">
        <f t="shared" si="17"/>
        <v>7690986.387923751</v>
      </c>
      <c r="AL54" s="22">
        <f t="shared" si="17"/>
        <v>7804953.1644206718</v>
      </c>
      <c r="AM54" s="22">
        <f t="shared" si="17"/>
        <v>7918930.9522235207</v>
      </c>
      <c r="AN54" s="22">
        <f t="shared" si="17"/>
        <v>8032919.3417955227</v>
      </c>
      <c r="AO54" s="22">
        <f t="shared" si="17"/>
        <v>8146917.9436600879</v>
      </c>
      <c r="AP54" s="22">
        <f t="shared" si="17"/>
        <v>8260926.3871873841</v>
      </c>
      <c r="AQ54" s="22">
        <f t="shared" si="17"/>
        <v>8374944.3194680214</v>
      </c>
      <c r="AR54" s="22">
        <f t="shared" si="17"/>
        <v>8374944.3194680214</v>
      </c>
    </row>
    <row r="56" spans="1:44" s="13" customFormat="1" x14ac:dyDescent="0.25">
      <c r="A56" s="12"/>
      <c r="B56" s="12"/>
      <c r="C56" s="12"/>
      <c r="D56" s="13" t="s">
        <v>887</v>
      </c>
    </row>
    <row r="58" spans="1:44" ht="11" thickBot="1" x14ac:dyDescent="0.3">
      <c r="E58" s="1" t="s">
        <v>468</v>
      </c>
      <c r="F58" s="1"/>
    </row>
    <row r="60" spans="1:44" x14ac:dyDescent="0.25">
      <c r="F60" s="12" t="s">
        <v>66</v>
      </c>
      <c r="M60" s="22">
        <f t="shared" ref="M60:AR60" si="18">(M35/$M$35)*$N$19*$N$22*$O$22/MinutesinHour</f>
        <v>573486.28283819894</v>
      </c>
      <c r="N60" s="22">
        <f t="shared" si="18"/>
        <v>582385.47248599574</v>
      </c>
      <c r="O60" s="22">
        <f t="shared" si="18"/>
        <v>591284.66213379276</v>
      </c>
      <c r="P60" s="22">
        <f t="shared" si="18"/>
        <v>600183.85178158968</v>
      </c>
      <c r="Q60" s="22">
        <f t="shared" si="18"/>
        <v>609083.04142938671</v>
      </c>
      <c r="R60" s="22">
        <f t="shared" si="18"/>
        <v>617982.23107718362</v>
      </c>
      <c r="S60" s="22">
        <f t="shared" si="18"/>
        <v>626881.42072498065</v>
      </c>
      <c r="T60" s="22">
        <f t="shared" si="18"/>
        <v>635780.61037277756</v>
      </c>
      <c r="U60" s="22">
        <f t="shared" si="18"/>
        <v>644679.80002057448</v>
      </c>
      <c r="V60" s="22">
        <f t="shared" si="18"/>
        <v>653578.98966837151</v>
      </c>
      <c r="W60" s="22">
        <f t="shared" si="18"/>
        <v>662478.17931616807</v>
      </c>
      <c r="X60" s="22">
        <f t="shared" si="18"/>
        <v>671326.73040508351</v>
      </c>
      <c r="Y60" s="22">
        <f t="shared" si="18"/>
        <v>680175.28149399906</v>
      </c>
      <c r="Z60" s="22">
        <f t="shared" si="18"/>
        <v>689023.83258291462</v>
      </c>
      <c r="AA60" s="22">
        <f t="shared" si="18"/>
        <v>697872.38367183006</v>
      </c>
      <c r="AB60" s="22">
        <f t="shared" si="18"/>
        <v>706720.9347607455</v>
      </c>
      <c r="AC60" s="22">
        <f t="shared" si="18"/>
        <v>715569.48584966117</v>
      </c>
      <c r="AD60" s="22">
        <f t="shared" si="18"/>
        <v>724418.03693857638</v>
      </c>
      <c r="AE60" s="22">
        <f t="shared" si="18"/>
        <v>733266.58802749193</v>
      </c>
      <c r="AF60" s="22">
        <f t="shared" si="18"/>
        <v>742115.13911640749</v>
      </c>
      <c r="AG60" s="22">
        <f t="shared" si="18"/>
        <v>750963.69020532258</v>
      </c>
      <c r="AH60" s="22">
        <f t="shared" si="18"/>
        <v>761158.45970959344</v>
      </c>
      <c r="AI60" s="22">
        <f t="shared" si="18"/>
        <v>771353.22921386431</v>
      </c>
      <c r="AJ60" s="22">
        <f t="shared" si="18"/>
        <v>781547.99871813518</v>
      </c>
      <c r="AK60" s="22">
        <f t="shared" si="18"/>
        <v>791742.76822240616</v>
      </c>
      <c r="AL60" s="22">
        <f t="shared" si="18"/>
        <v>801937.53772667679</v>
      </c>
      <c r="AM60" s="22">
        <f t="shared" si="18"/>
        <v>812132.30723094777</v>
      </c>
      <c r="AN60" s="22">
        <f t="shared" si="18"/>
        <v>822327.07673521852</v>
      </c>
      <c r="AO60" s="22">
        <f t="shared" si="18"/>
        <v>832521.84623948939</v>
      </c>
      <c r="AP60" s="22">
        <f t="shared" si="18"/>
        <v>842716.61574376014</v>
      </c>
      <c r="AQ60" s="22">
        <f t="shared" si="18"/>
        <v>852911.38524803123</v>
      </c>
      <c r="AR60" s="22">
        <f t="shared" si="18"/>
        <v>852911.38524803123</v>
      </c>
    </row>
    <row r="61" spans="1:44" x14ac:dyDescent="0.25">
      <c r="F61" s="12" t="s">
        <v>522</v>
      </c>
      <c r="M61" s="22">
        <f t="shared" ref="M61:AR61" si="19">(M35/$M$35)*$N$19*$N$22*$O$22/MinutesinHour*($N$29/$N$28)</f>
        <v>643164.86620304012</v>
      </c>
      <c r="N61" s="22">
        <f t="shared" si="19"/>
        <v>653145.30739304423</v>
      </c>
      <c r="O61" s="22">
        <f t="shared" si="19"/>
        <v>663125.74858304858</v>
      </c>
      <c r="P61" s="22">
        <f t="shared" si="19"/>
        <v>673106.18977305281</v>
      </c>
      <c r="Q61" s="22">
        <f t="shared" si="19"/>
        <v>683086.63096305716</v>
      </c>
      <c r="R61" s="22">
        <f t="shared" si="19"/>
        <v>693067.0721530614</v>
      </c>
      <c r="S61" s="22">
        <f t="shared" si="19"/>
        <v>703047.51334306574</v>
      </c>
      <c r="T61" s="22">
        <f t="shared" si="19"/>
        <v>713027.95453306998</v>
      </c>
      <c r="U61" s="22">
        <f t="shared" si="19"/>
        <v>723008.39572307421</v>
      </c>
      <c r="V61" s="22">
        <f t="shared" si="19"/>
        <v>732988.83691307856</v>
      </c>
      <c r="W61" s="22">
        <f t="shared" si="19"/>
        <v>742969.27810308244</v>
      </c>
      <c r="X61" s="22">
        <f t="shared" si="19"/>
        <v>752892.92814930109</v>
      </c>
      <c r="Y61" s="22">
        <f t="shared" si="19"/>
        <v>762816.57819551986</v>
      </c>
      <c r="Z61" s="22">
        <f t="shared" si="19"/>
        <v>772740.22824173875</v>
      </c>
      <c r="AA61" s="22">
        <f t="shared" si="19"/>
        <v>782663.8782879574</v>
      </c>
      <c r="AB61" s="22">
        <f t="shared" si="19"/>
        <v>792587.52833417605</v>
      </c>
      <c r="AC61" s="22">
        <f t="shared" si="19"/>
        <v>802511.17838039494</v>
      </c>
      <c r="AD61" s="22">
        <f t="shared" si="19"/>
        <v>812434.82842661336</v>
      </c>
      <c r="AE61" s="22">
        <f t="shared" si="19"/>
        <v>822358.47847283212</v>
      </c>
      <c r="AF61" s="22">
        <f t="shared" si="19"/>
        <v>832282.12851905101</v>
      </c>
      <c r="AG61" s="22">
        <f t="shared" si="19"/>
        <v>842205.7785652692</v>
      </c>
      <c r="AH61" s="22">
        <f t="shared" si="19"/>
        <v>853639.21256430901</v>
      </c>
      <c r="AI61" s="22">
        <f t="shared" si="19"/>
        <v>865072.64656334883</v>
      </c>
      <c r="AJ61" s="22">
        <f t="shared" si="19"/>
        <v>876506.08056238852</v>
      </c>
      <c r="AK61" s="22">
        <f t="shared" si="19"/>
        <v>887939.51456142846</v>
      </c>
      <c r="AL61" s="22">
        <f t="shared" si="19"/>
        <v>899372.94856046792</v>
      </c>
      <c r="AM61" s="22">
        <f t="shared" si="19"/>
        <v>910806.38255950785</v>
      </c>
      <c r="AN61" s="22">
        <f t="shared" si="19"/>
        <v>922239.81655854755</v>
      </c>
      <c r="AO61" s="22">
        <f t="shared" si="19"/>
        <v>933673.25055758725</v>
      </c>
      <c r="AP61" s="22">
        <f t="shared" si="19"/>
        <v>945106.68455662695</v>
      </c>
      <c r="AQ61" s="22">
        <f t="shared" si="19"/>
        <v>956540.118555667</v>
      </c>
      <c r="AR61" s="22">
        <f t="shared" si="19"/>
        <v>956540.118555667</v>
      </c>
    </row>
    <row r="62" spans="1:44" x14ac:dyDescent="0.25">
      <c r="F62" s="12" t="s">
        <v>523</v>
      </c>
      <c r="M62" s="22">
        <f t="shared" ref="M62:AR62" si="20">(M36/$M$36)*$N$19*$N$22*$O$22/MinutesinHour*($N$29/$N$28)*((M36-M35)/M35)</f>
        <v>140903.99056329767</v>
      </c>
      <c r="N62" s="22">
        <f t="shared" si="20"/>
        <v>144145.12310195639</v>
      </c>
      <c r="O62" s="22">
        <f t="shared" si="20"/>
        <v>147388.19892731294</v>
      </c>
      <c r="P62" s="22">
        <f t="shared" si="20"/>
        <v>150633.1315974704</v>
      </c>
      <c r="Q62" s="22">
        <f t="shared" si="20"/>
        <v>153879.83972247262</v>
      </c>
      <c r="R62" s="22">
        <f t="shared" si="20"/>
        <v>157128.24660055415</v>
      </c>
      <c r="S62" s="22">
        <f t="shared" si="20"/>
        <v>160378.27988537328</v>
      </c>
      <c r="T62" s="22">
        <f t="shared" si="20"/>
        <v>163629.871281192</v>
      </c>
      <c r="U62" s="22">
        <f t="shared" si="20"/>
        <v>166882.95626330242</v>
      </c>
      <c r="V62" s="22">
        <f t="shared" si="20"/>
        <v>170137.47382129304</v>
      </c>
      <c r="W62" s="22">
        <f t="shared" si="20"/>
        <v>173393.36622300837</v>
      </c>
      <c r="X62" s="22">
        <f t="shared" si="20"/>
        <v>177231.50952679638</v>
      </c>
      <c r="Y62" s="22">
        <f t="shared" si="20"/>
        <v>181073.06314124877</v>
      </c>
      <c r="Z62" s="22">
        <f t="shared" si="20"/>
        <v>184917.89567914768</v>
      </c>
      <c r="AA62" s="22">
        <f t="shared" si="20"/>
        <v>188765.8824168804</v>
      </c>
      <c r="AB62" s="22">
        <f t="shared" si="20"/>
        <v>192616.90487727863</v>
      </c>
      <c r="AC62" s="22">
        <f t="shared" si="20"/>
        <v>196470.85044340877</v>
      </c>
      <c r="AD62" s="22">
        <f t="shared" si="20"/>
        <v>200327.6120006667</v>
      </c>
      <c r="AE62" s="22">
        <f t="shared" si="20"/>
        <v>204187.08760478644</v>
      </c>
      <c r="AF62" s="22">
        <f t="shared" si="20"/>
        <v>208049.1801735996</v>
      </c>
      <c r="AG62" s="22">
        <f t="shared" si="20"/>
        <v>211913.79720058743</v>
      </c>
      <c r="AH62" s="22">
        <f t="shared" si="20"/>
        <v>215448.29525015681</v>
      </c>
      <c r="AI62" s="22">
        <f t="shared" si="20"/>
        <v>218983.33288005105</v>
      </c>
      <c r="AJ62" s="22">
        <f t="shared" si="20"/>
        <v>222518.8889748799</v>
      </c>
      <c r="AK62" s="22">
        <f t="shared" si="20"/>
        <v>226054.94350681087</v>
      </c>
      <c r="AL62" s="22">
        <f t="shared" si="20"/>
        <v>229591.47746644058</v>
      </c>
      <c r="AM62" s="22">
        <f t="shared" si="20"/>
        <v>233128.47279887274</v>
      </c>
      <c r="AN62" s="22">
        <f t="shared" si="20"/>
        <v>236665.9123445506</v>
      </c>
      <c r="AO62" s="22">
        <f t="shared" si="20"/>
        <v>240203.77978443707</v>
      </c>
      <c r="AP62" s="22">
        <f t="shared" si="20"/>
        <v>243742.05958917335</v>
      </c>
      <c r="AQ62" s="22">
        <f t="shared" si="20"/>
        <v>247280.73697188514</v>
      </c>
      <c r="AR62" s="22">
        <f t="shared" si="20"/>
        <v>247280.73697188514</v>
      </c>
    </row>
    <row r="63" spans="1:44" x14ac:dyDescent="0.25">
      <c r="F63" s="12" t="s">
        <v>524</v>
      </c>
      <c r="M63" s="22">
        <f>SUM(M61:M62)</f>
        <v>784068.85676633776</v>
      </c>
      <c r="N63" s="22">
        <f>SUM(N61:N62)</f>
        <v>797290.43049500068</v>
      </c>
      <c r="O63" s="22">
        <f>SUM(O61:O62)</f>
        <v>810513.94751036156</v>
      </c>
      <c r="P63" s="22">
        <f t="shared" ref="P63:AR63" si="21">SUM(P61:P62)</f>
        <v>823739.32137052319</v>
      </c>
      <c r="Q63" s="22">
        <f t="shared" si="21"/>
        <v>836966.47068552976</v>
      </c>
      <c r="R63" s="22">
        <f t="shared" si="21"/>
        <v>850195.31875361549</v>
      </c>
      <c r="S63" s="22">
        <f t="shared" si="21"/>
        <v>863425.79322843906</v>
      </c>
      <c r="T63" s="22">
        <f t="shared" si="21"/>
        <v>876657.82581426203</v>
      </c>
      <c r="U63" s="22">
        <f t="shared" si="21"/>
        <v>889891.35198637657</v>
      </c>
      <c r="V63" s="22">
        <f t="shared" si="21"/>
        <v>903126.31073437165</v>
      </c>
      <c r="W63" s="22">
        <f t="shared" si="21"/>
        <v>916362.64432609081</v>
      </c>
      <c r="X63" s="22">
        <f t="shared" si="21"/>
        <v>930124.4376760975</v>
      </c>
      <c r="Y63" s="22">
        <f t="shared" si="21"/>
        <v>943889.64133676863</v>
      </c>
      <c r="Z63" s="22">
        <f t="shared" si="21"/>
        <v>957658.12392088643</v>
      </c>
      <c r="AA63" s="22">
        <f t="shared" si="21"/>
        <v>971429.76070483774</v>
      </c>
      <c r="AB63" s="22">
        <f t="shared" si="21"/>
        <v>985204.43321145466</v>
      </c>
      <c r="AC63" s="22">
        <f t="shared" si="21"/>
        <v>998982.02882380364</v>
      </c>
      <c r="AD63" s="22">
        <f t="shared" si="21"/>
        <v>1012762.44042728</v>
      </c>
      <c r="AE63" s="22">
        <f t="shared" si="21"/>
        <v>1026545.5660776186</v>
      </c>
      <c r="AF63" s="22">
        <f t="shared" si="21"/>
        <v>1040331.3086926506</v>
      </c>
      <c r="AG63" s="22">
        <f t="shared" si="21"/>
        <v>1054119.5757658565</v>
      </c>
      <c r="AH63" s="22">
        <f t="shared" si="21"/>
        <v>1069087.5078144658</v>
      </c>
      <c r="AI63" s="22">
        <f t="shared" si="21"/>
        <v>1084055.9794433999</v>
      </c>
      <c r="AJ63" s="22">
        <f t="shared" si="21"/>
        <v>1099024.9695372684</v>
      </c>
      <c r="AK63" s="22">
        <f t="shared" si="21"/>
        <v>1113994.4580682393</v>
      </c>
      <c r="AL63" s="22">
        <f t="shared" si="21"/>
        <v>1128964.4260269084</v>
      </c>
      <c r="AM63" s="22">
        <f t="shared" si="21"/>
        <v>1143934.8553583806</v>
      </c>
      <c r="AN63" s="22">
        <f t="shared" si="21"/>
        <v>1158905.728903098</v>
      </c>
      <c r="AO63" s="22">
        <f t="shared" si="21"/>
        <v>1173877.0303420243</v>
      </c>
      <c r="AP63" s="22">
        <f t="shared" si="21"/>
        <v>1188848.7441458004</v>
      </c>
      <c r="AQ63" s="22">
        <f t="shared" si="21"/>
        <v>1203820.8555275521</v>
      </c>
      <c r="AR63" s="22">
        <f t="shared" si="21"/>
        <v>1203820.8555275521</v>
      </c>
    </row>
    <row r="64" spans="1:44" x14ac:dyDescent="0.25">
      <c r="F64" s="12" t="s">
        <v>467</v>
      </c>
      <c r="M64" s="22">
        <f>M63-M60</f>
        <v>210582.57392813882</v>
      </c>
      <c r="N64" s="22">
        <f>N63-N60</f>
        <v>214904.95800900494</v>
      </c>
      <c r="O64" s="22">
        <f>O63-O60</f>
        <v>219229.28537656879</v>
      </c>
      <c r="P64" s="22">
        <f t="shared" ref="P64:AR64" si="22">P63-P60</f>
        <v>223555.46958893351</v>
      </c>
      <c r="Q64" s="22">
        <f t="shared" si="22"/>
        <v>227883.42925614305</v>
      </c>
      <c r="R64" s="22">
        <f t="shared" si="22"/>
        <v>232213.08767643187</v>
      </c>
      <c r="S64" s="22">
        <f t="shared" si="22"/>
        <v>236544.37250345841</v>
      </c>
      <c r="T64" s="22">
        <f t="shared" si="22"/>
        <v>240877.21544148447</v>
      </c>
      <c r="U64" s="22">
        <f t="shared" si="22"/>
        <v>245211.55196580209</v>
      </c>
      <c r="V64" s="22">
        <f t="shared" si="22"/>
        <v>249547.32106600015</v>
      </c>
      <c r="W64" s="22">
        <f t="shared" si="22"/>
        <v>253884.46500992274</v>
      </c>
      <c r="X64" s="22">
        <f t="shared" si="22"/>
        <v>258797.70727101399</v>
      </c>
      <c r="Y64" s="22">
        <f t="shared" si="22"/>
        <v>263714.35984276957</v>
      </c>
      <c r="Z64" s="22">
        <f t="shared" si="22"/>
        <v>268634.29133797181</v>
      </c>
      <c r="AA64" s="22">
        <f t="shared" si="22"/>
        <v>273557.37703300768</v>
      </c>
      <c r="AB64" s="22">
        <f t="shared" si="22"/>
        <v>278483.49845070916</v>
      </c>
      <c r="AC64" s="22">
        <f t="shared" si="22"/>
        <v>283412.54297414247</v>
      </c>
      <c r="AD64" s="22">
        <f t="shared" si="22"/>
        <v>288344.40348870365</v>
      </c>
      <c r="AE64" s="22">
        <f t="shared" si="22"/>
        <v>293278.97805012669</v>
      </c>
      <c r="AF64" s="22">
        <f t="shared" si="22"/>
        <v>298216.16957624315</v>
      </c>
      <c r="AG64" s="22">
        <f t="shared" si="22"/>
        <v>303155.88556053396</v>
      </c>
      <c r="AH64" s="22">
        <f t="shared" si="22"/>
        <v>307929.04810487234</v>
      </c>
      <c r="AI64" s="22">
        <f t="shared" si="22"/>
        <v>312702.75022953562</v>
      </c>
      <c r="AJ64" s="22">
        <f t="shared" si="22"/>
        <v>317476.97081913322</v>
      </c>
      <c r="AK64" s="22">
        <f t="shared" si="22"/>
        <v>322251.68984583311</v>
      </c>
      <c r="AL64" s="22">
        <f t="shared" si="22"/>
        <v>327026.88830023166</v>
      </c>
      <c r="AM64" s="22">
        <f t="shared" si="22"/>
        <v>331802.54812743282</v>
      </c>
      <c r="AN64" s="22">
        <f t="shared" si="22"/>
        <v>336578.65216787951</v>
      </c>
      <c r="AO64" s="22">
        <f t="shared" si="22"/>
        <v>341355.1841025349</v>
      </c>
      <c r="AP64" s="22">
        <f t="shared" si="22"/>
        <v>346132.12840204022</v>
      </c>
      <c r="AQ64" s="22">
        <f t="shared" si="22"/>
        <v>350909.47027952084</v>
      </c>
      <c r="AR64" s="22">
        <f t="shared" si="22"/>
        <v>350909.47027952084</v>
      </c>
    </row>
    <row r="66" spans="1:44" ht="11" thickBot="1" x14ac:dyDescent="0.3">
      <c r="E66" s="1" t="s">
        <v>469</v>
      </c>
      <c r="F66" s="1"/>
    </row>
    <row r="68" spans="1:44" x14ac:dyDescent="0.25">
      <c r="F68" s="12" t="s">
        <v>66</v>
      </c>
      <c r="M68" s="22">
        <f t="shared" ref="M68:AR68" si="23">(M35/$M$35)*$N$19*$N$23*$O$23/MinutesinHour</f>
        <v>684352.53156929417</v>
      </c>
      <c r="N68" s="22">
        <f t="shared" si="23"/>
        <v>694972.11070594692</v>
      </c>
      <c r="O68" s="22">
        <f t="shared" si="23"/>
        <v>705591.68984259979</v>
      </c>
      <c r="P68" s="22">
        <f t="shared" si="23"/>
        <v>716211.26897925255</v>
      </c>
      <c r="Q68" s="22">
        <f t="shared" si="23"/>
        <v>726830.84811590542</v>
      </c>
      <c r="R68" s="22">
        <f t="shared" si="23"/>
        <v>737450.42725255818</v>
      </c>
      <c r="S68" s="22">
        <f t="shared" si="23"/>
        <v>748070.00638921105</v>
      </c>
      <c r="T68" s="22">
        <f t="shared" si="23"/>
        <v>758689.58552586369</v>
      </c>
      <c r="U68" s="22">
        <f t="shared" si="23"/>
        <v>769309.16466251679</v>
      </c>
      <c r="V68" s="22">
        <f t="shared" si="23"/>
        <v>779928.74379916932</v>
      </c>
      <c r="W68" s="22">
        <f t="shared" si="23"/>
        <v>790548.32293582172</v>
      </c>
      <c r="X68" s="22">
        <f t="shared" si="23"/>
        <v>801107.47407793917</v>
      </c>
      <c r="Y68" s="22">
        <f t="shared" si="23"/>
        <v>811666.62522005627</v>
      </c>
      <c r="Z68" s="22">
        <f t="shared" si="23"/>
        <v>822225.77636217349</v>
      </c>
      <c r="AA68" s="22">
        <f t="shared" si="23"/>
        <v>832784.92750429094</v>
      </c>
      <c r="AB68" s="22">
        <f t="shared" si="23"/>
        <v>843344.07864640804</v>
      </c>
      <c r="AC68" s="22">
        <f t="shared" si="23"/>
        <v>853903.22978852538</v>
      </c>
      <c r="AD68" s="22">
        <f t="shared" si="23"/>
        <v>864462.38093064236</v>
      </c>
      <c r="AE68" s="22">
        <f t="shared" si="23"/>
        <v>875021.5320727597</v>
      </c>
      <c r="AF68" s="22">
        <f t="shared" si="23"/>
        <v>885580.68321487692</v>
      </c>
      <c r="AG68" s="22">
        <f t="shared" si="23"/>
        <v>896139.83435699379</v>
      </c>
      <c r="AH68" s="22">
        <f t="shared" si="23"/>
        <v>908305.45457808231</v>
      </c>
      <c r="AI68" s="22">
        <f t="shared" si="23"/>
        <v>920471.07479917072</v>
      </c>
      <c r="AJ68" s="22">
        <f t="shared" si="23"/>
        <v>932636.69502025913</v>
      </c>
      <c r="AK68" s="22">
        <f t="shared" si="23"/>
        <v>944802.31524134753</v>
      </c>
      <c r="AL68" s="22">
        <f t="shared" si="23"/>
        <v>956967.93546243571</v>
      </c>
      <c r="AM68" s="22">
        <f t="shared" si="23"/>
        <v>969133.55568352412</v>
      </c>
      <c r="AN68" s="22">
        <f t="shared" si="23"/>
        <v>981299.17590461241</v>
      </c>
      <c r="AO68" s="22">
        <f t="shared" si="23"/>
        <v>993464.79612570081</v>
      </c>
      <c r="AP68" s="22">
        <f t="shared" si="23"/>
        <v>1005630.4163467891</v>
      </c>
      <c r="AQ68" s="22">
        <f t="shared" si="23"/>
        <v>1017796.0365678776</v>
      </c>
      <c r="AR68" s="22">
        <f t="shared" si="23"/>
        <v>1017796.0365678776</v>
      </c>
    </row>
    <row r="69" spans="1:44" x14ac:dyDescent="0.25">
      <c r="F69" s="12" t="s">
        <v>522</v>
      </c>
      <c r="M69" s="22">
        <f t="shared" ref="M69:AR69" si="24">(M35/$M$35)*$N$19*$N$23*$O$23/MinutesinHour*($N$29/$N$28)</f>
        <v>767501.3641549634</v>
      </c>
      <c r="N69" s="22">
        <f t="shared" si="24"/>
        <v>779411.22215671942</v>
      </c>
      <c r="O69" s="22">
        <f t="shared" si="24"/>
        <v>791321.08015847567</v>
      </c>
      <c r="P69" s="22">
        <f t="shared" si="24"/>
        <v>803230.93816023169</v>
      </c>
      <c r="Q69" s="22">
        <f t="shared" si="24"/>
        <v>815140.79616198794</v>
      </c>
      <c r="R69" s="22">
        <f t="shared" si="24"/>
        <v>827050.65416374395</v>
      </c>
      <c r="S69" s="22">
        <f t="shared" si="24"/>
        <v>838960.5121655002</v>
      </c>
      <c r="T69" s="22">
        <f t="shared" si="24"/>
        <v>850870.3701672561</v>
      </c>
      <c r="U69" s="22">
        <f t="shared" si="24"/>
        <v>862780.22816901258</v>
      </c>
      <c r="V69" s="22">
        <f t="shared" si="24"/>
        <v>874690.08617076837</v>
      </c>
      <c r="W69" s="22">
        <f t="shared" si="24"/>
        <v>886599.94417252403</v>
      </c>
      <c r="X69" s="22">
        <f t="shared" si="24"/>
        <v>898442.0321784087</v>
      </c>
      <c r="Y69" s="22">
        <f t="shared" si="24"/>
        <v>910284.12018429302</v>
      </c>
      <c r="Z69" s="22">
        <f t="shared" si="24"/>
        <v>922126.20819017757</v>
      </c>
      <c r="AA69" s="22">
        <f t="shared" si="24"/>
        <v>933968.29619606223</v>
      </c>
      <c r="AB69" s="22">
        <f t="shared" si="24"/>
        <v>945810.38420194655</v>
      </c>
      <c r="AC69" s="22">
        <f t="shared" si="24"/>
        <v>957652.47220783122</v>
      </c>
      <c r="AD69" s="22">
        <f t="shared" si="24"/>
        <v>969494.5602137153</v>
      </c>
      <c r="AE69" s="22">
        <f t="shared" si="24"/>
        <v>981336.64821959997</v>
      </c>
      <c r="AF69" s="22">
        <f t="shared" si="24"/>
        <v>993178.7362254844</v>
      </c>
      <c r="AG69" s="22">
        <f t="shared" si="24"/>
        <v>1005020.8242313685</v>
      </c>
      <c r="AH69" s="22">
        <f t="shared" si="24"/>
        <v>1018664.5673093193</v>
      </c>
      <c r="AI69" s="22">
        <f t="shared" si="24"/>
        <v>1032308.3103872699</v>
      </c>
      <c r="AJ69" s="22">
        <f t="shared" si="24"/>
        <v>1045952.0534652206</v>
      </c>
      <c r="AK69" s="22">
        <f t="shared" si="24"/>
        <v>1059595.7965431712</v>
      </c>
      <c r="AL69" s="22">
        <f t="shared" si="24"/>
        <v>1073239.5396211215</v>
      </c>
      <c r="AM69" s="22">
        <f t="shared" si="24"/>
        <v>1086883.2826990723</v>
      </c>
      <c r="AN69" s="22">
        <f t="shared" si="24"/>
        <v>1100527.0257770228</v>
      </c>
      <c r="AO69" s="22">
        <f t="shared" si="24"/>
        <v>1114170.7688549734</v>
      </c>
      <c r="AP69" s="22">
        <f t="shared" si="24"/>
        <v>1127814.5119329239</v>
      </c>
      <c r="AQ69" s="22">
        <f t="shared" si="24"/>
        <v>1141458.2550108747</v>
      </c>
      <c r="AR69" s="22">
        <f t="shared" si="24"/>
        <v>1141458.2550108747</v>
      </c>
    </row>
    <row r="70" spans="1:44" x14ac:dyDescent="0.25">
      <c r="F70" s="12" t="s">
        <v>523</v>
      </c>
      <c r="M70" s="22">
        <f t="shared" ref="M70:AR70" si="25">(M36/$M$36)*$N$19*$N$23*$O$23/MinutesinHour*($N$29/$N$28)*((M36-M35)/M35)</f>
        <v>168143.52066623795</v>
      </c>
      <c r="N70" s="22">
        <f t="shared" si="25"/>
        <v>172011.22827208581</v>
      </c>
      <c r="O70" s="22">
        <f t="shared" si="25"/>
        <v>175881.25484041107</v>
      </c>
      <c r="P70" s="22">
        <f t="shared" si="25"/>
        <v>179753.49721838743</v>
      </c>
      <c r="Q70" s="22">
        <f t="shared" si="25"/>
        <v>183627.85828176918</v>
      </c>
      <c r="R70" s="22">
        <f t="shared" si="25"/>
        <v>187504.24650082164</v>
      </c>
      <c r="S70" s="22">
        <f t="shared" si="25"/>
        <v>191382.57554322347</v>
      </c>
      <c r="T70" s="22">
        <f t="shared" si="25"/>
        <v>195262.76391031872</v>
      </c>
      <c r="U70" s="22">
        <f t="shared" si="25"/>
        <v>199144.73460349644</v>
      </c>
      <c r="V70" s="22">
        <f t="shared" si="25"/>
        <v>203028.41481782505</v>
      </c>
      <c r="W70" s="22">
        <f t="shared" si="25"/>
        <v>206913.73566038092</v>
      </c>
      <c r="X70" s="22">
        <f t="shared" si="25"/>
        <v>211493.86802810503</v>
      </c>
      <c r="Y70" s="22">
        <f t="shared" si="25"/>
        <v>216078.06998704086</v>
      </c>
      <c r="Z70" s="22">
        <f t="shared" si="25"/>
        <v>220666.18475022083</v>
      </c>
      <c r="AA70" s="22">
        <f t="shared" si="25"/>
        <v>225258.06348248929</v>
      </c>
      <c r="AB70" s="22">
        <f t="shared" si="25"/>
        <v>229853.56480269664</v>
      </c>
      <c r="AC70" s="22">
        <f t="shared" si="25"/>
        <v>234452.554322827</v>
      </c>
      <c r="AD70" s="22">
        <f t="shared" si="25"/>
        <v>239054.90422090344</v>
      </c>
      <c r="AE70" s="22">
        <f t="shared" si="25"/>
        <v>243660.49284481557</v>
      </c>
      <c r="AF70" s="22">
        <f t="shared" si="25"/>
        <v>248269.20434449054</v>
      </c>
      <c r="AG70" s="22">
        <f t="shared" si="25"/>
        <v>252880.92833006862</v>
      </c>
      <c r="AH70" s="22">
        <f t="shared" si="25"/>
        <v>257098.71480628315</v>
      </c>
      <c r="AI70" s="22">
        <f t="shared" si="25"/>
        <v>261317.14517437867</v>
      </c>
      <c r="AJ70" s="22">
        <f t="shared" si="25"/>
        <v>265536.19423694198</v>
      </c>
      <c r="AK70" s="22">
        <f t="shared" si="25"/>
        <v>269755.83809436404</v>
      </c>
      <c r="AL70" s="22">
        <f t="shared" si="25"/>
        <v>273976.05406234768</v>
      </c>
      <c r="AM70" s="22">
        <f t="shared" si="25"/>
        <v>278196.82059562783</v>
      </c>
      <c r="AN70" s="22">
        <f t="shared" si="25"/>
        <v>282418.11721736589</v>
      </c>
      <c r="AO70" s="22">
        <f t="shared" si="25"/>
        <v>286639.92445373174</v>
      </c>
      <c r="AP70" s="22">
        <f t="shared" si="25"/>
        <v>290862.22377323435</v>
      </c>
      <c r="AQ70" s="22">
        <f t="shared" si="25"/>
        <v>295084.99753040378</v>
      </c>
      <c r="AR70" s="22">
        <f t="shared" si="25"/>
        <v>295084.99753040378</v>
      </c>
    </row>
    <row r="71" spans="1:44" x14ac:dyDescent="0.25">
      <c r="F71" s="12" t="s">
        <v>524</v>
      </c>
      <c r="M71" s="22">
        <f>SUM(M69:M70)</f>
        <v>935644.88482120133</v>
      </c>
      <c r="N71" s="22">
        <f>SUM(N69:N70)</f>
        <v>951422.4504288052</v>
      </c>
      <c r="O71" s="22">
        <f>SUM(O69:O70)</f>
        <v>967202.3349988868</v>
      </c>
      <c r="P71" s="22">
        <f t="shared" ref="P71:AR71" si="26">SUM(P69:P70)</f>
        <v>982984.43537861912</v>
      </c>
      <c r="Q71" s="22">
        <f t="shared" si="26"/>
        <v>998768.65444375714</v>
      </c>
      <c r="R71" s="22">
        <f t="shared" si="26"/>
        <v>1014554.9006645656</v>
      </c>
      <c r="S71" s="22">
        <f t="shared" si="26"/>
        <v>1030343.0877087237</v>
      </c>
      <c r="T71" s="22">
        <f t="shared" si="26"/>
        <v>1046133.1340775748</v>
      </c>
      <c r="U71" s="22">
        <f t="shared" si="26"/>
        <v>1061924.9627725091</v>
      </c>
      <c r="V71" s="22">
        <f t="shared" si="26"/>
        <v>1077718.5009885933</v>
      </c>
      <c r="W71" s="22">
        <f t="shared" si="26"/>
        <v>1093513.6798329051</v>
      </c>
      <c r="X71" s="22">
        <f t="shared" si="26"/>
        <v>1109935.9002065137</v>
      </c>
      <c r="Y71" s="22">
        <f t="shared" si="26"/>
        <v>1126362.190171334</v>
      </c>
      <c r="Z71" s="22">
        <f t="shared" si="26"/>
        <v>1142792.3929403983</v>
      </c>
      <c r="AA71" s="22">
        <f t="shared" si="26"/>
        <v>1159226.3596785516</v>
      </c>
      <c r="AB71" s="22">
        <f t="shared" si="26"/>
        <v>1175663.9490046431</v>
      </c>
      <c r="AC71" s="22">
        <f t="shared" si="26"/>
        <v>1192105.0265306581</v>
      </c>
      <c r="AD71" s="22">
        <f t="shared" si="26"/>
        <v>1208549.4644346188</v>
      </c>
      <c r="AE71" s="22">
        <f t="shared" si="26"/>
        <v>1224997.1410644155</v>
      </c>
      <c r="AF71" s="22">
        <f t="shared" si="26"/>
        <v>1241447.9405699749</v>
      </c>
      <c r="AG71" s="22">
        <f t="shared" si="26"/>
        <v>1257901.7525614372</v>
      </c>
      <c r="AH71" s="22">
        <f t="shared" si="26"/>
        <v>1275763.2821156024</v>
      </c>
      <c r="AI71" s="22">
        <f t="shared" si="26"/>
        <v>1293625.4555616486</v>
      </c>
      <c r="AJ71" s="22">
        <f t="shared" si="26"/>
        <v>1311488.2477021627</v>
      </c>
      <c r="AK71" s="22">
        <f t="shared" si="26"/>
        <v>1329351.6346375351</v>
      </c>
      <c r="AL71" s="22">
        <f t="shared" si="26"/>
        <v>1347215.5936834691</v>
      </c>
      <c r="AM71" s="22">
        <f t="shared" si="26"/>
        <v>1365080.1032947002</v>
      </c>
      <c r="AN71" s="22">
        <f t="shared" si="26"/>
        <v>1382945.1429943887</v>
      </c>
      <c r="AO71" s="22">
        <f t="shared" si="26"/>
        <v>1400810.693308705</v>
      </c>
      <c r="AP71" s="22">
        <f t="shared" si="26"/>
        <v>1418676.7357061582</v>
      </c>
      <c r="AQ71" s="22">
        <f t="shared" si="26"/>
        <v>1436543.2525412785</v>
      </c>
      <c r="AR71" s="22">
        <f t="shared" si="26"/>
        <v>1436543.2525412785</v>
      </c>
    </row>
    <row r="72" spans="1:44" x14ac:dyDescent="0.25">
      <c r="F72" s="12" t="s">
        <v>467</v>
      </c>
      <c r="M72" s="22">
        <f>M71-M68</f>
        <v>251292.35325190716</v>
      </c>
      <c r="N72" s="22">
        <f>N71-N68</f>
        <v>256450.33972285828</v>
      </c>
      <c r="O72" s="22">
        <f>O71-O68</f>
        <v>261610.64515628701</v>
      </c>
      <c r="P72" s="22">
        <f t="shared" ref="P72:AR72" si="27">P71-P68</f>
        <v>266773.16639936657</v>
      </c>
      <c r="Q72" s="22">
        <f t="shared" si="27"/>
        <v>271937.80632785172</v>
      </c>
      <c r="R72" s="22">
        <f t="shared" si="27"/>
        <v>277104.47341200744</v>
      </c>
      <c r="S72" s="22">
        <f t="shared" si="27"/>
        <v>282273.08131951268</v>
      </c>
      <c r="T72" s="22">
        <f t="shared" si="27"/>
        <v>287443.54855171114</v>
      </c>
      <c r="U72" s="22">
        <f t="shared" si="27"/>
        <v>292615.79810999229</v>
      </c>
      <c r="V72" s="22">
        <f t="shared" si="27"/>
        <v>297789.75718942401</v>
      </c>
      <c r="W72" s="22">
        <f t="shared" si="27"/>
        <v>302965.35689708334</v>
      </c>
      <c r="X72" s="22">
        <f t="shared" si="27"/>
        <v>308828.42612857453</v>
      </c>
      <c r="Y72" s="22">
        <f t="shared" si="27"/>
        <v>314695.56495127769</v>
      </c>
      <c r="Z72" s="22">
        <f t="shared" si="27"/>
        <v>320566.61657822481</v>
      </c>
      <c r="AA72" s="22">
        <f t="shared" si="27"/>
        <v>326441.43217426061</v>
      </c>
      <c r="AB72" s="22">
        <f t="shared" si="27"/>
        <v>332319.87035823509</v>
      </c>
      <c r="AC72" s="22">
        <f t="shared" si="27"/>
        <v>338201.79674213275</v>
      </c>
      <c r="AD72" s="22">
        <f t="shared" si="27"/>
        <v>344087.08350397646</v>
      </c>
      <c r="AE72" s="22">
        <f t="shared" si="27"/>
        <v>349975.60899165575</v>
      </c>
      <c r="AF72" s="22">
        <f t="shared" si="27"/>
        <v>355867.25735509803</v>
      </c>
      <c r="AG72" s="22">
        <f t="shared" si="27"/>
        <v>361761.91820444341</v>
      </c>
      <c r="AH72" s="22">
        <f t="shared" si="27"/>
        <v>367457.82753752009</v>
      </c>
      <c r="AI72" s="22">
        <f t="shared" si="27"/>
        <v>373154.38076247787</v>
      </c>
      <c r="AJ72" s="22">
        <f t="shared" si="27"/>
        <v>378851.55268190359</v>
      </c>
      <c r="AK72" s="22">
        <f t="shared" si="27"/>
        <v>384549.31939618755</v>
      </c>
      <c r="AL72" s="22">
        <f t="shared" si="27"/>
        <v>390247.6582210334</v>
      </c>
      <c r="AM72" s="22">
        <f t="shared" si="27"/>
        <v>395946.54761117604</v>
      </c>
      <c r="AN72" s="22">
        <f t="shared" si="27"/>
        <v>401645.9670897763</v>
      </c>
      <c r="AO72" s="22">
        <f t="shared" si="27"/>
        <v>407345.89718300418</v>
      </c>
      <c r="AP72" s="22">
        <f t="shared" si="27"/>
        <v>413046.31935936911</v>
      </c>
      <c r="AQ72" s="22">
        <f t="shared" si="27"/>
        <v>418747.21597340086</v>
      </c>
      <c r="AR72" s="22">
        <f t="shared" si="27"/>
        <v>418747.21597340086</v>
      </c>
    </row>
    <row r="74" spans="1:44" s="13" customFormat="1" x14ac:dyDescent="0.25">
      <c r="A74" s="12"/>
      <c r="B74" s="12"/>
      <c r="C74" s="12"/>
      <c r="D74" s="13" t="s">
        <v>888</v>
      </c>
    </row>
    <row r="76" spans="1:44" ht="11" thickBot="1" x14ac:dyDescent="0.3">
      <c r="E76" s="1" t="s">
        <v>468</v>
      </c>
      <c r="F76" s="1"/>
    </row>
    <row r="77" spans="1:44" x14ac:dyDescent="0.25">
      <c r="N77" s="62"/>
    </row>
    <row r="78" spans="1:44" x14ac:dyDescent="0.25">
      <c r="F78" s="12" t="s">
        <v>66</v>
      </c>
      <c r="H78" s="12">
        <f>SUM(M78:AR78)</f>
        <v>50594339.771927804</v>
      </c>
      <c r="M78" s="22">
        <f>(M35/$M$35)*$N$19*$N$24*$P$24</f>
        <v>1270782.3462689647</v>
      </c>
      <c r="N78" s="22">
        <f t="shared" ref="N78:AR78" si="28">(N35/$M$35)*$N$19*$N$24*$P$24</f>
        <v>1290501.9689329134</v>
      </c>
      <c r="O78" s="22">
        <f t="shared" si="28"/>
        <v>1310221.5915968623</v>
      </c>
      <c r="P78" s="22">
        <f t="shared" si="28"/>
        <v>1329941.214260811</v>
      </c>
      <c r="Q78" s="22">
        <f t="shared" si="28"/>
        <v>1349660.8369247599</v>
      </c>
      <c r="R78" s="22">
        <f t="shared" si="28"/>
        <v>1369380.4595887088</v>
      </c>
      <c r="S78" s="22">
        <f t="shared" si="28"/>
        <v>1389100.0822526575</v>
      </c>
      <c r="T78" s="22">
        <f t="shared" si="28"/>
        <v>1408819.7049166064</v>
      </c>
      <c r="U78" s="22">
        <f t="shared" si="28"/>
        <v>1428539.3275805556</v>
      </c>
      <c r="V78" s="22">
        <f t="shared" si="28"/>
        <v>1448258.950244504</v>
      </c>
      <c r="W78" s="22">
        <f t="shared" si="28"/>
        <v>1467978.5729084522</v>
      </c>
      <c r="X78" s="22">
        <f t="shared" si="28"/>
        <v>1487585.9861114377</v>
      </c>
      <c r="Y78" s="22">
        <f t="shared" si="28"/>
        <v>1507193.3993144233</v>
      </c>
      <c r="Z78" s="22">
        <f t="shared" si="28"/>
        <v>1526800.8125174087</v>
      </c>
      <c r="AA78" s="22">
        <f t="shared" si="28"/>
        <v>1546408.2257203946</v>
      </c>
      <c r="AB78" s="22">
        <f t="shared" si="28"/>
        <v>1566015.6389233801</v>
      </c>
      <c r="AC78" s="22">
        <f t="shared" si="28"/>
        <v>1585623.0521263655</v>
      </c>
      <c r="AD78" s="22">
        <f t="shared" si="28"/>
        <v>1605230.4653293509</v>
      </c>
      <c r="AE78" s="22">
        <f t="shared" si="28"/>
        <v>1624837.8785323363</v>
      </c>
      <c r="AF78" s="22">
        <f t="shared" si="28"/>
        <v>1644445.2917353222</v>
      </c>
      <c r="AG78" s="22">
        <f t="shared" si="28"/>
        <v>1664052.7049383072</v>
      </c>
      <c r="AH78" s="22">
        <f t="shared" si="28"/>
        <v>1686643.1896595673</v>
      </c>
      <c r="AI78" s="22">
        <f t="shared" si="28"/>
        <v>1709233.6743808277</v>
      </c>
      <c r="AJ78" s="22">
        <f t="shared" si="28"/>
        <v>1731824.1591020876</v>
      </c>
      <c r="AK78" s="22">
        <f t="shared" si="28"/>
        <v>1754414.643823348</v>
      </c>
      <c r="AL78" s="22">
        <f t="shared" si="28"/>
        <v>1777005.1285446079</v>
      </c>
      <c r="AM78" s="22">
        <f t="shared" si="28"/>
        <v>1799595.613265868</v>
      </c>
      <c r="AN78" s="22">
        <f t="shared" si="28"/>
        <v>1822186.0979871282</v>
      </c>
      <c r="AO78" s="22">
        <f t="shared" si="28"/>
        <v>1844776.5827083881</v>
      </c>
      <c r="AP78" s="22">
        <f t="shared" si="28"/>
        <v>1867367.0674296482</v>
      </c>
      <c r="AQ78" s="22">
        <f t="shared" si="28"/>
        <v>1889957.5521509089</v>
      </c>
      <c r="AR78" s="22">
        <f t="shared" si="28"/>
        <v>1889957.5521509089</v>
      </c>
    </row>
    <row r="79" spans="1:44" x14ac:dyDescent="0.25">
      <c r="F79" s="12" t="s">
        <v>522</v>
      </c>
      <c r="H79" s="12">
        <f t="shared" ref="H79:H82" si="29">SUM(M79:AR79)</f>
        <v>56741552.054217033</v>
      </c>
      <c r="I79" s="14">
        <f>H79/H78</f>
        <v>1.1214999999999999</v>
      </c>
      <c r="M79" s="22">
        <f>(M35/$M$35)*$N$19*$N$24*$P$24*($N$29/$N$28)</f>
        <v>1425182.4013406439</v>
      </c>
      <c r="N79" s="22">
        <f t="shared" ref="N79:AR79" si="30">(N35/$M$35)*$N$19*$N$24*$P$24*($N$29/$N$28)</f>
        <v>1447297.9581582623</v>
      </c>
      <c r="O79" s="22">
        <f t="shared" si="30"/>
        <v>1469413.514975881</v>
      </c>
      <c r="P79" s="22">
        <f t="shared" si="30"/>
        <v>1491529.0717934994</v>
      </c>
      <c r="Q79" s="22">
        <f t="shared" si="30"/>
        <v>1513644.6286111181</v>
      </c>
      <c r="R79" s="22">
        <f t="shared" si="30"/>
        <v>1535760.185428737</v>
      </c>
      <c r="S79" s="22">
        <f t="shared" si="30"/>
        <v>1557875.7422463554</v>
      </c>
      <c r="T79" s="22">
        <f t="shared" si="30"/>
        <v>1579991.2990639741</v>
      </c>
      <c r="U79" s="22">
        <f t="shared" si="30"/>
        <v>1602106.855881593</v>
      </c>
      <c r="V79" s="22">
        <f t="shared" si="30"/>
        <v>1624222.4126992112</v>
      </c>
      <c r="W79" s="22">
        <f t="shared" si="30"/>
        <v>1646337.9695168291</v>
      </c>
      <c r="X79" s="22">
        <f t="shared" si="30"/>
        <v>1668327.6834239773</v>
      </c>
      <c r="Y79" s="22">
        <f t="shared" si="30"/>
        <v>1690317.3973311256</v>
      </c>
      <c r="Z79" s="22">
        <f t="shared" si="30"/>
        <v>1712307.1112382738</v>
      </c>
      <c r="AA79" s="22">
        <f t="shared" si="30"/>
        <v>1734296.8251454225</v>
      </c>
      <c r="AB79" s="22">
        <f t="shared" si="30"/>
        <v>1756286.5390525707</v>
      </c>
      <c r="AC79" s="22">
        <f t="shared" si="30"/>
        <v>1778276.2529597187</v>
      </c>
      <c r="AD79" s="22">
        <f t="shared" si="30"/>
        <v>1800265.9668668669</v>
      </c>
      <c r="AE79" s="22">
        <f t="shared" si="30"/>
        <v>1822255.6807740151</v>
      </c>
      <c r="AF79" s="22">
        <f t="shared" si="30"/>
        <v>1844245.3946811638</v>
      </c>
      <c r="AG79" s="22">
        <f t="shared" si="30"/>
        <v>1866235.1085883114</v>
      </c>
      <c r="AH79" s="22">
        <f t="shared" si="30"/>
        <v>1891570.3372032046</v>
      </c>
      <c r="AI79" s="22">
        <f t="shared" si="30"/>
        <v>1916905.5658180981</v>
      </c>
      <c r="AJ79" s="22">
        <f t="shared" si="30"/>
        <v>1942240.7944329912</v>
      </c>
      <c r="AK79" s="22">
        <f t="shared" si="30"/>
        <v>1967576.0230478847</v>
      </c>
      <c r="AL79" s="22">
        <f t="shared" si="30"/>
        <v>1992911.2516627777</v>
      </c>
      <c r="AM79" s="22">
        <f t="shared" si="30"/>
        <v>2018246.480277671</v>
      </c>
      <c r="AN79" s="22">
        <f t="shared" si="30"/>
        <v>2043581.7088925641</v>
      </c>
      <c r="AO79" s="22">
        <f t="shared" si="30"/>
        <v>2068916.9375074571</v>
      </c>
      <c r="AP79" s="22">
        <f t="shared" si="30"/>
        <v>2094252.1661223504</v>
      </c>
      <c r="AQ79" s="22">
        <f t="shared" si="30"/>
        <v>2119587.3947372441</v>
      </c>
      <c r="AR79" s="22">
        <f t="shared" si="30"/>
        <v>2119587.3947372441</v>
      </c>
    </row>
    <row r="80" spans="1:44" x14ac:dyDescent="0.25">
      <c r="F80" s="12" t="s">
        <v>523</v>
      </c>
      <c r="H80" s="12">
        <f t="shared" si="29"/>
        <v>13815967.895281512</v>
      </c>
      <c r="I80" s="14">
        <f>(H78+H80)/H78</f>
        <v>1.273073390374535</v>
      </c>
      <c r="M80" s="22">
        <f>(M36/$M$36)*$N$19*$N$24*$P$24*($N$29/$N$28)*((M36-M35)/M35)</f>
        <v>312227.70114138239</v>
      </c>
      <c r="N80" s="22">
        <f t="shared" ref="N80:AR80" si="31">(N36/$M$36)*$N$19*$N$24*$P$24*($N$29/$N$28)*((N36-N35)/N35)</f>
        <v>319409.69334468589</v>
      </c>
      <c r="O80" s="22">
        <f t="shared" si="31"/>
        <v>326595.99165696395</v>
      </c>
      <c r="P80" s="22">
        <f t="shared" si="31"/>
        <v>333786.4045325077</v>
      </c>
      <c r="Q80" s="22">
        <f t="shared" si="31"/>
        <v>340980.75162015186</v>
      </c>
      <c r="R80" s="22">
        <f t="shared" si="31"/>
        <v>348178.86295724433</v>
      </c>
      <c r="S80" s="22">
        <f t="shared" si="31"/>
        <v>355380.578232272</v>
      </c>
      <c r="T80" s="22">
        <f t="shared" si="31"/>
        <v>362585.7461094124</v>
      </c>
      <c r="U80" s="22">
        <f t="shared" si="31"/>
        <v>369794.22360903019</v>
      </c>
      <c r="V80" s="22">
        <f t="shared" si="31"/>
        <v>377005.87553878303</v>
      </c>
      <c r="W80" s="22">
        <f t="shared" si="31"/>
        <v>384220.57397058234</v>
      </c>
      <c r="X80" s="22">
        <f t="shared" si="31"/>
        <v>392725.47617812175</v>
      </c>
      <c r="Y80" s="22">
        <f t="shared" si="31"/>
        <v>401237.9352579306</v>
      </c>
      <c r="Z80" s="22">
        <f t="shared" si="31"/>
        <v>409757.66007042618</v>
      </c>
      <c r="AA80" s="22">
        <f t="shared" si="31"/>
        <v>418284.37424183986</v>
      </c>
      <c r="AB80" s="22">
        <f t="shared" si="31"/>
        <v>426817.81523983512</v>
      </c>
      <c r="AC80" s="22">
        <f t="shared" si="31"/>
        <v>435357.73351770866</v>
      </c>
      <c r="AD80" s="22">
        <f t="shared" si="31"/>
        <v>443903.89172131289</v>
      </c>
      <c r="AE80" s="22">
        <f t="shared" si="31"/>
        <v>452456.06395339908</v>
      </c>
      <c r="AF80" s="22">
        <f t="shared" si="31"/>
        <v>461014.03509059013</v>
      </c>
      <c r="AG80" s="22">
        <f t="shared" si="31"/>
        <v>469577.60014864441</v>
      </c>
      <c r="AH80" s="22">
        <f t="shared" si="31"/>
        <v>477409.65796541702</v>
      </c>
      <c r="AI80" s="22">
        <f t="shared" si="31"/>
        <v>485242.91143267311</v>
      </c>
      <c r="AJ80" s="22">
        <f t="shared" si="31"/>
        <v>493077.31376103673</v>
      </c>
      <c r="AK80" s="22">
        <f t="shared" si="31"/>
        <v>500912.82057104009</v>
      </c>
      <c r="AL80" s="22">
        <f t="shared" si="31"/>
        <v>508749.38973994221</v>
      </c>
      <c r="AM80" s="22">
        <f t="shared" si="31"/>
        <v>516586.98126008431</v>
      </c>
      <c r="AN80" s="22">
        <f t="shared" si="31"/>
        <v>524425.55710778164</v>
      </c>
      <c r="AO80" s="22">
        <f t="shared" si="31"/>
        <v>532265.08112184738</v>
      </c>
      <c r="AP80" s="22">
        <f t="shared" si="31"/>
        <v>540105.51889093616</v>
      </c>
      <c r="AQ80" s="22">
        <f t="shared" si="31"/>
        <v>547946.83764896495</v>
      </c>
      <c r="AR80" s="22">
        <f t="shared" si="31"/>
        <v>547946.83764896495</v>
      </c>
    </row>
    <row r="81" spans="1:44" x14ac:dyDescent="0.25">
      <c r="F81" s="12" t="s">
        <v>524</v>
      </c>
      <c r="H81" s="12">
        <f t="shared" si="29"/>
        <v>70557519.949498534</v>
      </c>
      <c r="I81" s="14">
        <f>H81/H78</f>
        <v>1.394573390374535</v>
      </c>
      <c r="M81" s="22">
        <f>SUM(M79:M80)</f>
        <v>1737410.1024820262</v>
      </c>
      <c r="N81" s="22">
        <f>SUM(N79:N80)</f>
        <v>1766707.6515029483</v>
      </c>
      <c r="O81" s="22">
        <f t="shared" ref="O81:AR81" si="32">SUM(O79:O80)</f>
        <v>1796009.5066328449</v>
      </c>
      <c r="P81" s="22">
        <f t="shared" si="32"/>
        <v>1825315.4763260072</v>
      </c>
      <c r="Q81" s="22">
        <f t="shared" si="32"/>
        <v>1854625.3802312699</v>
      </c>
      <c r="R81" s="22">
        <f t="shared" si="32"/>
        <v>1883939.0483859812</v>
      </c>
      <c r="S81" s="22">
        <f t="shared" si="32"/>
        <v>1913256.3204786275</v>
      </c>
      <c r="T81" s="22">
        <f t="shared" si="32"/>
        <v>1942577.0451733866</v>
      </c>
      <c r="U81" s="22">
        <f t="shared" si="32"/>
        <v>1971901.0794906232</v>
      </c>
      <c r="V81" s="22">
        <f t="shared" si="32"/>
        <v>2001228.2882379941</v>
      </c>
      <c r="W81" s="22">
        <f t="shared" si="32"/>
        <v>2030558.5434874115</v>
      </c>
      <c r="X81" s="22">
        <f t="shared" si="32"/>
        <v>2061053.1596020991</v>
      </c>
      <c r="Y81" s="22">
        <f t="shared" si="32"/>
        <v>2091555.3325890561</v>
      </c>
      <c r="Z81" s="22">
        <f t="shared" si="32"/>
        <v>2122064.7713087001</v>
      </c>
      <c r="AA81" s="22">
        <f t="shared" si="32"/>
        <v>2152581.1993872626</v>
      </c>
      <c r="AB81" s="22">
        <f t="shared" si="32"/>
        <v>2183104.3542924058</v>
      </c>
      <c r="AC81" s="22">
        <f t="shared" si="32"/>
        <v>2213633.9864774272</v>
      </c>
      <c r="AD81" s="22">
        <f t="shared" si="32"/>
        <v>2244169.8585881796</v>
      </c>
      <c r="AE81" s="22">
        <f t="shared" si="32"/>
        <v>2274711.7447274141</v>
      </c>
      <c r="AF81" s="22">
        <f t="shared" si="32"/>
        <v>2305259.429771754</v>
      </c>
      <c r="AG81" s="22">
        <f t="shared" si="32"/>
        <v>2335812.7087369557</v>
      </c>
      <c r="AH81" s="22">
        <f t="shared" si="32"/>
        <v>2368979.9951686217</v>
      </c>
      <c r="AI81" s="22">
        <f t="shared" si="32"/>
        <v>2402148.4772507711</v>
      </c>
      <c r="AJ81" s="22">
        <f t="shared" si="32"/>
        <v>2435318.108194028</v>
      </c>
      <c r="AK81" s="22">
        <f t="shared" si="32"/>
        <v>2468488.8436189247</v>
      </c>
      <c r="AL81" s="22">
        <f t="shared" si="32"/>
        <v>2501660.64140272</v>
      </c>
      <c r="AM81" s="22">
        <f t="shared" si="32"/>
        <v>2534833.4615377551</v>
      </c>
      <c r="AN81" s="22">
        <f t="shared" si="32"/>
        <v>2568007.2660003458</v>
      </c>
      <c r="AO81" s="22">
        <f t="shared" si="32"/>
        <v>2601182.0186293046</v>
      </c>
      <c r="AP81" s="22">
        <f t="shared" si="32"/>
        <v>2634357.6850132868</v>
      </c>
      <c r="AQ81" s="22">
        <f t="shared" si="32"/>
        <v>2667534.2323862091</v>
      </c>
      <c r="AR81" s="22">
        <f t="shared" si="32"/>
        <v>2667534.2323862091</v>
      </c>
    </row>
    <row r="82" spans="1:44" x14ac:dyDescent="0.25">
      <c r="F82" s="12" t="s">
        <v>467</v>
      </c>
      <c r="H82" s="12">
        <f t="shared" si="29"/>
        <v>19963180.177570745</v>
      </c>
      <c r="M82" s="22">
        <f>M81-M78</f>
        <v>466627.75621306151</v>
      </c>
      <c r="N82" s="22">
        <f>N81-N78</f>
        <v>476205.68257003487</v>
      </c>
      <c r="O82" s="22">
        <f t="shared" ref="O82:AR82" si="33">O81-O78</f>
        <v>485787.91503598262</v>
      </c>
      <c r="P82" s="22">
        <f t="shared" si="33"/>
        <v>495374.26206519618</v>
      </c>
      <c r="Q82" s="22">
        <f t="shared" si="33"/>
        <v>504964.54330650996</v>
      </c>
      <c r="R82" s="22">
        <f t="shared" si="33"/>
        <v>514558.58879727242</v>
      </c>
      <c r="S82" s="22">
        <f t="shared" si="33"/>
        <v>524156.23822596995</v>
      </c>
      <c r="T82" s="22">
        <f t="shared" si="33"/>
        <v>533757.34025678015</v>
      </c>
      <c r="U82" s="22">
        <f t="shared" si="33"/>
        <v>543361.75191006763</v>
      </c>
      <c r="V82" s="22">
        <f t="shared" si="33"/>
        <v>552969.33799349004</v>
      </c>
      <c r="W82" s="22">
        <f t="shared" si="33"/>
        <v>562579.97057895921</v>
      </c>
      <c r="X82" s="22">
        <f t="shared" si="33"/>
        <v>573467.17349066143</v>
      </c>
      <c r="Y82" s="22">
        <f t="shared" si="33"/>
        <v>584361.93327463279</v>
      </c>
      <c r="Z82" s="22">
        <f t="shared" si="33"/>
        <v>595263.95879129134</v>
      </c>
      <c r="AA82" s="22">
        <f t="shared" si="33"/>
        <v>606172.97366686794</v>
      </c>
      <c r="AB82" s="22">
        <f t="shared" si="33"/>
        <v>617088.71536902571</v>
      </c>
      <c r="AC82" s="22">
        <f t="shared" si="33"/>
        <v>628010.9343510617</v>
      </c>
      <c r="AD82" s="22">
        <f t="shared" si="33"/>
        <v>638939.39325882867</v>
      </c>
      <c r="AE82" s="22">
        <f t="shared" si="33"/>
        <v>649873.86619507778</v>
      </c>
      <c r="AF82" s="22">
        <f t="shared" si="33"/>
        <v>660814.13803643174</v>
      </c>
      <c r="AG82" s="22">
        <f t="shared" si="33"/>
        <v>671760.00379864848</v>
      </c>
      <c r="AH82" s="22">
        <f t="shared" si="33"/>
        <v>682336.80550905433</v>
      </c>
      <c r="AI82" s="22">
        <f t="shared" si="33"/>
        <v>692914.80286994344</v>
      </c>
      <c r="AJ82" s="22">
        <f t="shared" si="33"/>
        <v>703493.94909194042</v>
      </c>
      <c r="AK82" s="22">
        <f t="shared" si="33"/>
        <v>714074.19979557674</v>
      </c>
      <c r="AL82" s="22">
        <f t="shared" si="33"/>
        <v>724655.51285811211</v>
      </c>
      <c r="AM82" s="22">
        <f t="shared" si="33"/>
        <v>735237.84827188705</v>
      </c>
      <c r="AN82" s="22">
        <f t="shared" si="33"/>
        <v>745821.16801321763</v>
      </c>
      <c r="AO82" s="22">
        <f t="shared" si="33"/>
        <v>756405.4359209165</v>
      </c>
      <c r="AP82" s="22">
        <f t="shared" si="33"/>
        <v>766990.61758363852</v>
      </c>
      <c r="AQ82" s="22">
        <f t="shared" si="33"/>
        <v>777576.68023530021</v>
      </c>
      <c r="AR82" s="22">
        <f t="shared" si="33"/>
        <v>777576.68023530021</v>
      </c>
    </row>
    <row r="84" spans="1:44" ht="11" thickBot="1" x14ac:dyDescent="0.3">
      <c r="E84" s="1" t="s">
        <v>469</v>
      </c>
      <c r="F84" s="1"/>
    </row>
    <row r="86" spans="1:44" x14ac:dyDescent="0.25">
      <c r="F86" s="12" t="s">
        <v>66</v>
      </c>
      <c r="H86" s="12">
        <f>SUM(M86:AR86)</f>
        <v>108592252.25350031</v>
      </c>
      <c r="M86" s="22">
        <f>(M35/$M$35)*$N$19*$N$25*$P$25</f>
        <v>2727520.8595942962</v>
      </c>
      <c r="N86" s="22">
        <f t="shared" ref="N86:AR86" si="34">(N35/$M$35)*$N$19*$N$25*$P$25</f>
        <v>2769845.7174404599</v>
      </c>
      <c r="O86" s="22">
        <f t="shared" si="34"/>
        <v>2812170.575286624</v>
      </c>
      <c r="P86" s="22">
        <f t="shared" si="34"/>
        <v>2854495.4331327882</v>
      </c>
      <c r="Q86" s="22">
        <f t="shared" si="34"/>
        <v>2896820.2909789528</v>
      </c>
      <c r="R86" s="22">
        <f t="shared" si="34"/>
        <v>2939145.1488251165</v>
      </c>
      <c r="S86" s="22">
        <f t="shared" si="34"/>
        <v>2981470.0066712806</v>
      </c>
      <c r="T86" s="22">
        <f t="shared" si="34"/>
        <v>3023794.8645174443</v>
      </c>
      <c r="U86" s="22">
        <f t="shared" si="34"/>
        <v>3066119.7223636094</v>
      </c>
      <c r="V86" s="22">
        <f t="shared" si="34"/>
        <v>3108444.580209773</v>
      </c>
      <c r="W86" s="22">
        <f t="shared" si="34"/>
        <v>3150769.4380559358</v>
      </c>
      <c r="X86" s="22">
        <f t="shared" si="34"/>
        <v>3192853.4571413789</v>
      </c>
      <c r="Y86" s="22">
        <f t="shared" si="34"/>
        <v>3234937.4762268225</v>
      </c>
      <c r="Z86" s="22">
        <f t="shared" si="34"/>
        <v>3277021.4953122661</v>
      </c>
      <c r="AA86" s="22">
        <f t="shared" si="34"/>
        <v>3319105.5143977101</v>
      </c>
      <c r="AB86" s="22">
        <f t="shared" si="34"/>
        <v>3361189.5334831532</v>
      </c>
      <c r="AC86" s="22">
        <f t="shared" si="34"/>
        <v>3403273.5525685963</v>
      </c>
      <c r="AD86" s="22">
        <f t="shared" si="34"/>
        <v>3445357.5716540394</v>
      </c>
      <c r="AE86" s="22">
        <f t="shared" si="34"/>
        <v>3487441.590739483</v>
      </c>
      <c r="AF86" s="22">
        <f t="shared" si="34"/>
        <v>3529525.6098249271</v>
      </c>
      <c r="AG86" s="22">
        <f t="shared" si="34"/>
        <v>3571609.6289103688</v>
      </c>
      <c r="AH86" s="22">
        <f t="shared" si="34"/>
        <v>3620096.3099588496</v>
      </c>
      <c r="AI86" s="22">
        <f t="shared" si="34"/>
        <v>3668582.9910073304</v>
      </c>
      <c r="AJ86" s="22">
        <f t="shared" si="34"/>
        <v>3717069.6720558112</v>
      </c>
      <c r="AK86" s="22">
        <f t="shared" si="34"/>
        <v>3765556.3531042929</v>
      </c>
      <c r="AL86" s="22">
        <f t="shared" si="34"/>
        <v>3814043.0341527723</v>
      </c>
      <c r="AM86" s="22">
        <f t="shared" si="34"/>
        <v>3862529.7152012535</v>
      </c>
      <c r="AN86" s="22">
        <f t="shared" si="34"/>
        <v>3911016.3962497334</v>
      </c>
      <c r="AO86" s="22">
        <f t="shared" si="34"/>
        <v>3959503.0772982147</v>
      </c>
      <c r="AP86" s="22">
        <f t="shared" si="34"/>
        <v>4007989.758346695</v>
      </c>
      <c r="AQ86" s="22">
        <f t="shared" si="34"/>
        <v>4056476.4393951762</v>
      </c>
      <c r="AR86" s="22">
        <f t="shared" si="34"/>
        <v>4056476.4393951762</v>
      </c>
    </row>
    <row r="87" spans="1:44" x14ac:dyDescent="0.25">
      <c r="F87" s="12" t="s">
        <v>522</v>
      </c>
      <c r="H87" s="12">
        <f t="shared" ref="H87:H88" si="35">SUM(M87:AR87)</f>
        <v>121786210.90230061</v>
      </c>
      <c r="I87" s="14">
        <f>H87/H86</f>
        <v>1.1215000000000002</v>
      </c>
      <c r="M87" s="22">
        <f>(M35/$M$35)*$N$19*$N$25*$P$25*($N$29/$N$28)</f>
        <v>3058914.6440350031</v>
      </c>
      <c r="N87" s="22">
        <f t="shared" ref="N87:AR87" si="36">(N35/$M$35)*$N$19*$N$25*$P$25*($N$29/$N$28)</f>
        <v>3106381.9721094756</v>
      </c>
      <c r="O87" s="22">
        <f t="shared" si="36"/>
        <v>3153849.3001839486</v>
      </c>
      <c r="P87" s="22">
        <f t="shared" si="36"/>
        <v>3201316.6282584216</v>
      </c>
      <c r="Q87" s="22">
        <f t="shared" si="36"/>
        <v>3248783.9563328954</v>
      </c>
      <c r="R87" s="22">
        <f t="shared" si="36"/>
        <v>3296251.2844073679</v>
      </c>
      <c r="S87" s="22">
        <f t="shared" si="36"/>
        <v>3343718.6124818409</v>
      </c>
      <c r="T87" s="22">
        <f t="shared" si="36"/>
        <v>3391185.9405563134</v>
      </c>
      <c r="U87" s="22">
        <f t="shared" si="36"/>
        <v>3438653.2686307877</v>
      </c>
      <c r="V87" s="22">
        <f t="shared" si="36"/>
        <v>3486120.5967052602</v>
      </c>
      <c r="W87" s="22">
        <f t="shared" si="36"/>
        <v>3533587.9247797318</v>
      </c>
      <c r="X87" s="22">
        <f t="shared" si="36"/>
        <v>3580785.1521840561</v>
      </c>
      <c r="Y87" s="22">
        <f t="shared" si="36"/>
        <v>3627982.3795883814</v>
      </c>
      <c r="Z87" s="22">
        <f t="shared" si="36"/>
        <v>3675179.6069927062</v>
      </c>
      <c r="AA87" s="22">
        <f t="shared" si="36"/>
        <v>3722376.8343970315</v>
      </c>
      <c r="AB87" s="22">
        <f t="shared" si="36"/>
        <v>3769574.0618013563</v>
      </c>
      <c r="AC87" s="22">
        <f t="shared" si="36"/>
        <v>3816771.2892056806</v>
      </c>
      <c r="AD87" s="22">
        <f t="shared" si="36"/>
        <v>3863968.5166100049</v>
      </c>
      <c r="AE87" s="22">
        <f t="shared" si="36"/>
        <v>3911165.7440143302</v>
      </c>
      <c r="AF87" s="22">
        <f t="shared" si="36"/>
        <v>3958362.9714186555</v>
      </c>
      <c r="AG87" s="22">
        <f t="shared" si="36"/>
        <v>4005560.1988229784</v>
      </c>
      <c r="AH87" s="22">
        <f t="shared" si="36"/>
        <v>4059938.0116188494</v>
      </c>
      <c r="AI87" s="22">
        <f t="shared" si="36"/>
        <v>4114315.8244147208</v>
      </c>
      <c r="AJ87" s="22">
        <f t="shared" si="36"/>
        <v>4168693.6372105922</v>
      </c>
      <c r="AK87" s="22">
        <f t="shared" si="36"/>
        <v>4223071.4500064645</v>
      </c>
      <c r="AL87" s="22">
        <f t="shared" si="36"/>
        <v>4277449.2628023336</v>
      </c>
      <c r="AM87" s="22">
        <f t="shared" si="36"/>
        <v>4331827.0755982054</v>
      </c>
      <c r="AN87" s="22">
        <f t="shared" si="36"/>
        <v>4386204.8883940754</v>
      </c>
      <c r="AO87" s="22">
        <f t="shared" si="36"/>
        <v>4440582.7011899473</v>
      </c>
      <c r="AP87" s="22">
        <f t="shared" si="36"/>
        <v>4494960.5139858183</v>
      </c>
      <c r="AQ87" s="22">
        <f t="shared" si="36"/>
        <v>4549338.3267816901</v>
      </c>
      <c r="AR87" s="22">
        <f t="shared" si="36"/>
        <v>4549338.3267816901</v>
      </c>
    </row>
    <row r="88" spans="1:44" x14ac:dyDescent="0.25">
      <c r="F88" s="12" t="s">
        <v>523</v>
      </c>
      <c r="H88" s="12">
        <f t="shared" si="35"/>
        <v>29653654.491270091</v>
      </c>
      <c r="I88" s="14">
        <f>(H86+H88)/H86</f>
        <v>1.2730733903745353</v>
      </c>
      <c r="M88" s="22">
        <f>(M36/$M$36)*$N$19*$N$25*$P$25*($N$29/$N$28)*((M36-M35)/M35)</f>
        <v>670144.31724411843</v>
      </c>
      <c r="N88" s="22">
        <f t="shared" ref="N88:AR88" si="37">(N36/$M$36)*$N$19*$N$25*$P$25*($N$29/$N$28)*((N36-N35)/N35)</f>
        <v>685559.25718679838</v>
      </c>
      <c r="O88" s="22">
        <f t="shared" si="37"/>
        <v>700983.43946911732</v>
      </c>
      <c r="P88" s="22">
        <f t="shared" si="37"/>
        <v>716416.45297038474</v>
      </c>
      <c r="Q88" s="22">
        <f t="shared" si="37"/>
        <v>731857.91059711634</v>
      </c>
      <c r="R88" s="22">
        <f t="shared" si="37"/>
        <v>747307.44755302754</v>
      </c>
      <c r="S88" s="22">
        <f t="shared" si="37"/>
        <v>762764.71975638205</v>
      </c>
      <c r="T88" s="22">
        <f t="shared" si="37"/>
        <v>778229.40239025606</v>
      </c>
      <c r="U88" s="22">
        <f t="shared" si="37"/>
        <v>793701.18857287755</v>
      </c>
      <c r="V88" s="22">
        <f t="shared" si="37"/>
        <v>809179.78813659155</v>
      </c>
      <c r="W88" s="22">
        <f t="shared" si="37"/>
        <v>824664.92650524317</v>
      </c>
      <c r="X88" s="22">
        <f t="shared" si="37"/>
        <v>842919.27056973334</v>
      </c>
      <c r="Y88" s="22">
        <f t="shared" si="37"/>
        <v>861189.83419126098</v>
      </c>
      <c r="Z88" s="22">
        <f t="shared" si="37"/>
        <v>879475.99248761381</v>
      </c>
      <c r="AA88" s="22">
        <f t="shared" si="37"/>
        <v>897777.152268918</v>
      </c>
      <c r="AB88" s="22">
        <f t="shared" si="37"/>
        <v>916092.75005360984</v>
      </c>
      <c r="AC88" s="22">
        <f t="shared" si="37"/>
        <v>934422.25023160537</v>
      </c>
      <c r="AD88" s="22">
        <f t="shared" si="37"/>
        <v>952765.14336209442</v>
      </c>
      <c r="AE88" s="22">
        <f t="shared" si="37"/>
        <v>971120.94459457463</v>
      </c>
      <c r="AF88" s="22">
        <f t="shared" si="37"/>
        <v>989489.19220285083</v>
      </c>
      <c r="AG88" s="22">
        <f t="shared" si="37"/>
        <v>1007869.4462226782</v>
      </c>
      <c r="AH88" s="22">
        <f t="shared" si="37"/>
        <v>1024679.6428165445</v>
      </c>
      <c r="AI88" s="22">
        <f t="shared" si="37"/>
        <v>1041492.4056733462</v>
      </c>
      <c r="AJ88" s="22">
        <f t="shared" si="37"/>
        <v>1058307.6343675475</v>
      </c>
      <c r="AK88" s="22">
        <f t="shared" si="37"/>
        <v>1075125.2336460738</v>
      </c>
      <c r="AL88" s="22">
        <f t="shared" si="37"/>
        <v>1091945.1130995376</v>
      </c>
      <c r="AM88" s="22">
        <f t="shared" si="37"/>
        <v>1108767.1868582193</v>
      </c>
      <c r="AN88" s="22">
        <f t="shared" si="37"/>
        <v>1125591.3733106658</v>
      </c>
      <c r="AO88" s="22">
        <f t="shared" si="37"/>
        <v>1142417.5948429636</v>
      </c>
      <c r="AP88" s="22">
        <f t="shared" si="37"/>
        <v>1159245.7775969396</v>
      </c>
      <c r="AQ88" s="22">
        <f t="shared" si="37"/>
        <v>1176075.8512457004</v>
      </c>
      <c r="AR88" s="22">
        <f t="shared" si="37"/>
        <v>1176075.8512457004</v>
      </c>
    </row>
    <row r="89" spans="1:44" x14ac:dyDescent="0.25">
      <c r="F89" s="12" t="s">
        <v>524</v>
      </c>
      <c r="M89" s="22">
        <f>SUM(M87:M88)</f>
        <v>3729058.9612791217</v>
      </c>
      <c r="N89" s="22">
        <f>SUM(N87:N88)</f>
        <v>3791941.229296274</v>
      </c>
      <c r="O89" s="22">
        <f t="shared" ref="O89:AR89" si="38">SUM(O87:O88)</f>
        <v>3854832.7396530658</v>
      </c>
      <c r="P89" s="22">
        <f t="shared" si="38"/>
        <v>3917733.0812288062</v>
      </c>
      <c r="Q89" s="22">
        <f t="shared" si="38"/>
        <v>3980641.8669300117</v>
      </c>
      <c r="R89" s="22">
        <f t="shared" si="38"/>
        <v>4043558.7319603954</v>
      </c>
      <c r="S89" s="22">
        <f t="shared" si="38"/>
        <v>4106483.3322382229</v>
      </c>
      <c r="T89" s="22">
        <f t="shared" si="38"/>
        <v>4169415.3429465694</v>
      </c>
      <c r="U89" s="22">
        <f t="shared" si="38"/>
        <v>4232354.4572036657</v>
      </c>
      <c r="V89" s="22">
        <f t="shared" si="38"/>
        <v>4295300.3848418519</v>
      </c>
      <c r="W89" s="22">
        <f t="shared" si="38"/>
        <v>4358252.8512849752</v>
      </c>
      <c r="X89" s="22">
        <f t="shared" si="38"/>
        <v>4423704.4227537895</v>
      </c>
      <c r="Y89" s="22">
        <f t="shared" si="38"/>
        <v>4489172.2137796422</v>
      </c>
      <c r="Z89" s="22">
        <f t="shared" si="38"/>
        <v>4554655.5994803198</v>
      </c>
      <c r="AA89" s="22">
        <f t="shared" si="38"/>
        <v>4620153.9866659492</v>
      </c>
      <c r="AB89" s="22">
        <f t="shared" si="38"/>
        <v>4685666.811854966</v>
      </c>
      <c r="AC89" s="22">
        <f t="shared" si="38"/>
        <v>4751193.5394372856</v>
      </c>
      <c r="AD89" s="22">
        <f t="shared" si="38"/>
        <v>4816733.6599720996</v>
      </c>
      <c r="AE89" s="22">
        <f t="shared" si="38"/>
        <v>4882286.6886089053</v>
      </c>
      <c r="AF89" s="22">
        <f t="shared" si="38"/>
        <v>4947852.1636215067</v>
      </c>
      <c r="AG89" s="22">
        <f t="shared" si="38"/>
        <v>5013429.6450456567</v>
      </c>
      <c r="AH89" s="22">
        <f t="shared" si="38"/>
        <v>5084617.6544353943</v>
      </c>
      <c r="AI89" s="22">
        <f t="shared" si="38"/>
        <v>5155808.2300880672</v>
      </c>
      <c r="AJ89" s="22">
        <f t="shared" si="38"/>
        <v>5227001.2715781396</v>
      </c>
      <c r="AK89" s="22">
        <f t="shared" si="38"/>
        <v>5298196.6836525388</v>
      </c>
      <c r="AL89" s="22">
        <f t="shared" si="38"/>
        <v>5369394.3759018714</v>
      </c>
      <c r="AM89" s="22">
        <f t="shared" si="38"/>
        <v>5440594.2624564245</v>
      </c>
      <c r="AN89" s="22">
        <f t="shared" si="38"/>
        <v>5511796.261704741</v>
      </c>
      <c r="AO89" s="22">
        <f t="shared" si="38"/>
        <v>5583000.2960329112</v>
      </c>
      <c r="AP89" s="22">
        <f t="shared" si="38"/>
        <v>5654206.2915827576</v>
      </c>
      <c r="AQ89" s="22">
        <f t="shared" si="38"/>
        <v>5725414.1780273905</v>
      </c>
      <c r="AR89" s="22">
        <f t="shared" si="38"/>
        <v>5725414.1780273905</v>
      </c>
    </row>
    <row r="90" spans="1:44" x14ac:dyDescent="0.25">
      <c r="F90" s="12" t="s">
        <v>467</v>
      </c>
      <c r="M90" s="22">
        <f>M89-M86</f>
        <v>1001538.1016848255</v>
      </c>
      <c r="N90" s="22">
        <f>N89-N86</f>
        <v>1022095.5118558141</v>
      </c>
      <c r="O90" s="22">
        <f t="shared" ref="O90:AR90" si="39">O89-O86</f>
        <v>1042662.1643664418</v>
      </c>
      <c r="P90" s="22">
        <f t="shared" si="39"/>
        <v>1063237.648096018</v>
      </c>
      <c r="Q90" s="22">
        <f t="shared" si="39"/>
        <v>1083821.5759510589</v>
      </c>
      <c r="R90" s="22">
        <f t="shared" si="39"/>
        <v>1104413.5831352789</v>
      </c>
      <c r="S90" s="22">
        <f t="shared" si="39"/>
        <v>1125013.3255669423</v>
      </c>
      <c r="T90" s="22">
        <f t="shared" si="39"/>
        <v>1145620.4784291252</v>
      </c>
      <c r="U90" s="22">
        <f t="shared" si="39"/>
        <v>1166234.7348400564</v>
      </c>
      <c r="V90" s="22">
        <f t="shared" si="39"/>
        <v>1186855.8046320789</v>
      </c>
      <c r="W90" s="22">
        <f t="shared" si="39"/>
        <v>1207483.4132290394</v>
      </c>
      <c r="X90" s="22">
        <f t="shared" si="39"/>
        <v>1230850.9656124106</v>
      </c>
      <c r="Y90" s="22">
        <f t="shared" si="39"/>
        <v>1254234.7375528198</v>
      </c>
      <c r="Z90" s="22">
        <f t="shared" si="39"/>
        <v>1277634.1041680537</v>
      </c>
      <c r="AA90" s="22">
        <f t="shared" si="39"/>
        <v>1301048.4722682391</v>
      </c>
      <c r="AB90" s="22">
        <f t="shared" si="39"/>
        <v>1324477.2783718128</v>
      </c>
      <c r="AC90" s="22">
        <f t="shared" si="39"/>
        <v>1347919.9868686893</v>
      </c>
      <c r="AD90" s="22">
        <f t="shared" si="39"/>
        <v>1371376.0883180602</v>
      </c>
      <c r="AE90" s="22">
        <f t="shared" si="39"/>
        <v>1394845.0978694223</v>
      </c>
      <c r="AF90" s="22">
        <f t="shared" si="39"/>
        <v>1418326.5537965796</v>
      </c>
      <c r="AG90" s="22">
        <f t="shared" si="39"/>
        <v>1441820.0161352879</v>
      </c>
      <c r="AH90" s="22">
        <f t="shared" si="39"/>
        <v>1464521.3444765448</v>
      </c>
      <c r="AI90" s="22">
        <f t="shared" si="39"/>
        <v>1487225.2390807369</v>
      </c>
      <c r="AJ90" s="22">
        <f t="shared" si="39"/>
        <v>1509931.5995223285</v>
      </c>
      <c r="AK90" s="22">
        <f t="shared" si="39"/>
        <v>1532640.3305482459</v>
      </c>
      <c r="AL90" s="22">
        <f t="shared" si="39"/>
        <v>1555351.3417490991</v>
      </c>
      <c r="AM90" s="22">
        <f t="shared" si="39"/>
        <v>1578064.547255171</v>
      </c>
      <c r="AN90" s="22">
        <f t="shared" si="39"/>
        <v>1600779.8654550076</v>
      </c>
      <c r="AO90" s="22">
        <f t="shared" si="39"/>
        <v>1623497.2187346965</v>
      </c>
      <c r="AP90" s="22">
        <f t="shared" si="39"/>
        <v>1646216.5332360626</v>
      </c>
      <c r="AQ90" s="22">
        <f t="shared" si="39"/>
        <v>1668937.7386322143</v>
      </c>
      <c r="AR90" s="22">
        <f t="shared" si="39"/>
        <v>1668937.7386322143</v>
      </c>
    </row>
    <row r="92" spans="1:44" s="13" customFormat="1" x14ac:dyDescent="0.25">
      <c r="A92" s="12"/>
      <c r="B92" s="12"/>
      <c r="C92" s="12"/>
      <c r="D92" s="13" t="s">
        <v>889</v>
      </c>
    </row>
    <row r="94" spans="1:44" ht="11" thickBot="1" x14ac:dyDescent="0.3">
      <c r="E94" s="1" t="s">
        <v>468</v>
      </c>
      <c r="F94" s="1"/>
    </row>
    <row r="96" spans="1:44" x14ac:dyDescent="0.25">
      <c r="F96" s="12" t="s">
        <v>66</v>
      </c>
      <c r="M96" s="22">
        <f t="shared" ref="M96:AR96" si="40">(M35/$M$35)*$N$19*$N$24*$O$24/MinutesinHour</f>
        <v>254156.46925379292</v>
      </c>
      <c r="N96" s="22">
        <f t="shared" si="40"/>
        <v>258100.39378658269</v>
      </c>
      <c r="O96" s="22">
        <f t="shared" si="40"/>
        <v>262044.31831937243</v>
      </c>
      <c r="P96" s="22">
        <f t="shared" si="40"/>
        <v>265988.24285216222</v>
      </c>
      <c r="Q96" s="22">
        <f t="shared" si="40"/>
        <v>269932.16738495202</v>
      </c>
      <c r="R96" s="22">
        <f t="shared" si="40"/>
        <v>273876.09191774175</v>
      </c>
      <c r="S96" s="22">
        <f t="shared" si="40"/>
        <v>277820.01645053149</v>
      </c>
      <c r="T96" s="22">
        <f t="shared" si="40"/>
        <v>281763.94098332128</v>
      </c>
      <c r="U96" s="22">
        <f t="shared" si="40"/>
        <v>285707.86551611108</v>
      </c>
      <c r="V96" s="22">
        <f t="shared" si="40"/>
        <v>289651.79004890082</v>
      </c>
      <c r="W96" s="22">
        <f t="shared" si="40"/>
        <v>293595.71458169044</v>
      </c>
      <c r="X96" s="22">
        <f t="shared" si="40"/>
        <v>297517.19722228753</v>
      </c>
      <c r="Y96" s="22">
        <f t="shared" si="40"/>
        <v>301438.67986288463</v>
      </c>
      <c r="Z96" s="22">
        <f t="shared" si="40"/>
        <v>305360.16250348178</v>
      </c>
      <c r="AA96" s="22">
        <f t="shared" si="40"/>
        <v>309281.64514407894</v>
      </c>
      <c r="AB96" s="22">
        <f t="shared" si="40"/>
        <v>313203.12778467598</v>
      </c>
      <c r="AC96" s="22">
        <f t="shared" si="40"/>
        <v>317124.61042527307</v>
      </c>
      <c r="AD96" s="22">
        <f t="shared" si="40"/>
        <v>321046.09306587011</v>
      </c>
      <c r="AE96" s="22">
        <f t="shared" si="40"/>
        <v>324967.57570646727</v>
      </c>
      <c r="AF96" s="22">
        <f t="shared" si="40"/>
        <v>328889.05834706442</v>
      </c>
      <c r="AG96" s="22">
        <f t="shared" si="40"/>
        <v>332810.5409876614</v>
      </c>
      <c r="AH96" s="22">
        <f t="shared" si="40"/>
        <v>337328.63793191343</v>
      </c>
      <c r="AI96" s="22">
        <f t="shared" si="40"/>
        <v>341846.73487616546</v>
      </c>
      <c r="AJ96" s="22">
        <f t="shared" si="40"/>
        <v>346364.83182041749</v>
      </c>
      <c r="AK96" s="22">
        <f t="shared" si="40"/>
        <v>350882.92876466957</v>
      </c>
      <c r="AL96" s="22">
        <f t="shared" si="40"/>
        <v>355401.02570892154</v>
      </c>
      <c r="AM96" s="22">
        <f t="shared" si="40"/>
        <v>359919.12265317357</v>
      </c>
      <c r="AN96" s="22">
        <f t="shared" si="40"/>
        <v>364437.2195974256</v>
      </c>
      <c r="AO96" s="22">
        <f t="shared" si="40"/>
        <v>368955.31654167757</v>
      </c>
      <c r="AP96" s="22">
        <f t="shared" si="40"/>
        <v>373473.4134859296</v>
      </c>
      <c r="AQ96" s="22">
        <f t="shared" si="40"/>
        <v>377991.51043018175</v>
      </c>
      <c r="AR96" s="22">
        <f t="shared" si="40"/>
        <v>377991.51043018175</v>
      </c>
    </row>
    <row r="97" spans="1:44" x14ac:dyDescent="0.25">
      <c r="F97" s="12" t="s">
        <v>522</v>
      </c>
      <c r="M97" s="22">
        <f t="shared" ref="M97:AR97" si="41">(M35/$M$35)*$N$19*$N$24*$O$24/MinutesinHour*($N$29/$N$28)</f>
        <v>285036.48026812874</v>
      </c>
      <c r="N97" s="22">
        <f t="shared" si="41"/>
        <v>289459.5916316525</v>
      </c>
      <c r="O97" s="22">
        <f t="shared" si="41"/>
        <v>293882.70299517614</v>
      </c>
      <c r="P97" s="22">
        <f t="shared" si="41"/>
        <v>298305.81435869989</v>
      </c>
      <c r="Q97" s="22">
        <f t="shared" si="41"/>
        <v>302728.92572222365</v>
      </c>
      <c r="R97" s="22">
        <f t="shared" si="41"/>
        <v>307152.03708574735</v>
      </c>
      <c r="S97" s="22">
        <f t="shared" si="41"/>
        <v>311575.14844927104</v>
      </c>
      <c r="T97" s="22">
        <f t="shared" si="41"/>
        <v>315998.2598127948</v>
      </c>
      <c r="U97" s="22">
        <f t="shared" si="41"/>
        <v>320421.37117631856</v>
      </c>
      <c r="V97" s="22">
        <f t="shared" si="41"/>
        <v>324844.48253984225</v>
      </c>
      <c r="W97" s="22">
        <f t="shared" si="41"/>
        <v>329267.59390336584</v>
      </c>
      <c r="X97" s="22">
        <f t="shared" si="41"/>
        <v>333665.53668479546</v>
      </c>
      <c r="Y97" s="22">
        <f t="shared" si="41"/>
        <v>338063.47946622508</v>
      </c>
      <c r="Z97" s="22">
        <f t="shared" si="41"/>
        <v>342461.42224765482</v>
      </c>
      <c r="AA97" s="22">
        <f t="shared" si="41"/>
        <v>346859.3650290845</v>
      </c>
      <c r="AB97" s="22">
        <f t="shared" si="41"/>
        <v>351257.30781051412</v>
      </c>
      <c r="AC97" s="22">
        <f t="shared" si="41"/>
        <v>355655.25059194374</v>
      </c>
      <c r="AD97" s="22">
        <f t="shared" si="41"/>
        <v>360053.1933733733</v>
      </c>
      <c r="AE97" s="22">
        <f t="shared" si="41"/>
        <v>364451.13615480304</v>
      </c>
      <c r="AF97" s="22">
        <f t="shared" si="41"/>
        <v>368849.07893623272</v>
      </c>
      <c r="AG97" s="22">
        <f t="shared" si="41"/>
        <v>373247.02171766222</v>
      </c>
      <c r="AH97" s="22">
        <f t="shared" si="41"/>
        <v>378314.06744064088</v>
      </c>
      <c r="AI97" s="22">
        <f t="shared" si="41"/>
        <v>383381.11316361954</v>
      </c>
      <c r="AJ97" s="22">
        <f t="shared" si="41"/>
        <v>388448.15888659819</v>
      </c>
      <c r="AK97" s="22">
        <f t="shared" si="41"/>
        <v>393515.2046095769</v>
      </c>
      <c r="AL97" s="22">
        <f t="shared" si="41"/>
        <v>398582.2503325555</v>
      </c>
      <c r="AM97" s="22">
        <f t="shared" si="41"/>
        <v>403649.29605553416</v>
      </c>
      <c r="AN97" s="22">
        <f t="shared" si="41"/>
        <v>408716.34177851281</v>
      </c>
      <c r="AO97" s="22">
        <f t="shared" si="41"/>
        <v>413783.38750149135</v>
      </c>
      <c r="AP97" s="22">
        <f t="shared" si="41"/>
        <v>418850.43322447001</v>
      </c>
      <c r="AQ97" s="22">
        <f t="shared" si="41"/>
        <v>423917.47894744884</v>
      </c>
      <c r="AR97" s="22">
        <f t="shared" si="41"/>
        <v>423917.47894744884</v>
      </c>
    </row>
    <row r="98" spans="1:44" x14ac:dyDescent="0.25">
      <c r="F98" s="12" t="s">
        <v>523</v>
      </c>
      <c r="M98" s="22">
        <f t="shared" ref="M98:AR98" si="42">(M36/$M$36)*$N$19*$N$24*$O$24/MinutesinHour*($N$29/$N$28)*((M36-M35)/M35)</f>
        <v>62445.54022827647</v>
      </c>
      <c r="N98" s="22">
        <f t="shared" si="42"/>
        <v>63881.938668937182</v>
      </c>
      <c r="O98" s="22">
        <f t="shared" si="42"/>
        <v>65319.19833139277</v>
      </c>
      <c r="P98" s="22">
        <f t="shared" si="42"/>
        <v>66757.280906501532</v>
      </c>
      <c r="Q98" s="22">
        <f t="shared" si="42"/>
        <v>68196.150324030357</v>
      </c>
      <c r="R98" s="22">
        <f t="shared" si="42"/>
        <v>69635.772591448855</v>
      </c>
      <c r="S98" s="22">
        <f t="shared" si="42"/>
        <v>71076.115646454404</v>
      </c>
      <c r="T98" s="22">
        <f t="shared" si="42"/>
        <v>72517.149221882486</v>
      </c>
      <c r="U98" s="22">
        <f t="shared" si="42"/>
        <v>73958.844721806046</v>
      </c>
      <c r="V98" s="22">
        <f t="shared" si="42"/>
        <v>75401.1751077566</v>
      </c>
      <c r="W98" s="22">
        <f t="shared" si="42"/>
        <v>76844.114794116467</v>
      </c>
      <c r="X98" s="22">
        <f t="shared" si="42"/>
        <v>78545.095235624351</v>
      </c>
      <c r="Y98" s="22">
        <f t="shared" si="42"/>
        <v>80247.587051586132</v>
      </c>
      <c r="Z98" s="22">
        <f t="shared" si="42"/>
        <v>81951.532014085242</v>
      </c>
      <c r="AA98" s="22">
        <f t="shared" si="42"/>
        <v>83656.874848367952</v>
      </c>
      <c r="AB98" s="22">
        <f t="shared" si="42"/>
        <v>85363.563047967007</v>
      </c>
      <c r="AC98" s="22">
        <f t="shared" si="42"/>
        <v>87071.546703541724</v>
      </c>
      <c r="AD98" s="22">
        <f t="shared" si="42"/>
        <v>88780.778344262581</v>
      </c>
      <c r="AE98" s="22">
        <f t="shared" si="42"/>
        <v>90491.212790679812</v>
      </c>
      <c r="AF98" s="22">
        <f t="shared" si="42"/>
        <v>92202.807018118008</v>
      </c>
      <c r="AG98" s="22">
        <f t="shared" si="42"/>
        <v>93915.520029728868</v>
      </c>
      <c r="AH98" s="22">
        <f t="shared" si="42"/>
        <v>95481.931593083398</v>
      </c>
      <c r="AI98" s="22">
        <f t="shared" si="42"/>
        <v>97048.582286534598</v>
      </c>
      <c r="AJ98" s="22">
        <f t="shared" si="42"/>
        <v>98615.462752207357</v>
      </c>
      <c r="AK98" s="22">
        <f t="shared" si="42"/>
        <v>100182.56411420801</v>
      </c>
      <c r="AL98" s="22">
        <f t="shared" si="42"/>
        <v>101749.87794798844</v>
      </c>
      <c r="AM98" s="22">
        <f t="shared" si="42"/>
        <v>103317.39625201686</v>
      </c>
      <c r="AN98" s="22">
        <f t="shared" si="42"/>
        <v>104885.11142155631</v>
      </c>
      <c r="AO98" s="22">
        <f t="shared" si="42"/>
        <v>106453.01622436945</v>
      </c>
      <c r="AP98" s="22">
        <f t="shared" si="42"/>
        <v>108021.10377818723</v>
      </c>
      <c r="AQ98" s="22">
        <f t="shared" si="42"/>
        <v>109589.36752979297</v>
      </c>
      <c r="AR98" s="22">
        <f t="shared" si="42"/>
        <v>109589.36752979297</v>
      </c>
    </row>
    <row r="99" spans="1:44" x14ac:dyDescent="0.25">
      <c r="F99" s="12" t="s">
        <v>524</v>
      </c>
      <c r="M99" s="22">
        <f>SUM(M97:M98)</f>
        <v>347482.0204964052</v>
      </c>
      <c r="N99" s="22">
        <f>SUM(N97:N98)</f>
        <v>353341.53030058969</v>
      </c>
      <c r="O99" s="22">
        <f>SUM(O97:O98)</f>
        <v>359201.90132656891</v>
      </c>
      <c r="P99" s="22">
        <f t="shared" ref="P99:AR99" si="43">SUM(P97:P98)</f>
        <v>365063.09526520141</v>
      </c>
      <c r="Q99" s="22">
        <f t="shared" si="43"/>
        <v>370925.07604625402</v>
      </c>
      <c r="R99" s="22">
        <f t="shared" si="43"/>
        <v>376787.8096771962</v>
      </c>
      <c r="S99" s="22">
        <f t="shared" si="43"/>
        <v>382651.26409572543</v>
      </c>
      <c r="T99" s="22">
        <f t="shared" si="43"/>
        <v>388515.40903467732</v>
      </c>
      <c r="U99" s="22">
        <f t="shared" si="43"/>
        <v>394380.21589812462</v>
      </c>
      <c r="V99" s="22">
        <f t="shared" si="43"/>
        <v>400245.65764759888</v>
      </c>
      <c r="W99" s="22">
        <f t="shared" si="43"/>
        <v>406111.7086974823</v>
      </c>
      <c r="X99" s="22">
        <f t="shared" si="43"/>
        <v>412210.63192041981</v>
      </c>
      <c r="Y99" s="22">
        <f t="shared" si="43"/>
        <v>418311.06651781121</v>
      </c>
      <c r="Z99" s="22">
        <f t="shared" si="43"/>
        <v>424412.95426174009</v>
      </c>
      <c r="AA99" s="22">
        <f t="shared" si="43"/>
        <v>430516.23987745243</v>
      </c>
      <c r="AB99" s="22">
        <f t="shared" si="43"/>
        <v>436620.87085848115</v>
      </c>
      <c r="AC99" s="22">
        <f t="shared" si="43"/>
        <v>442726.79729548545</v>
      </c>
      <c r="AD99" s="22">
        <f t="shared" si="43"/>
        <v>448833.97171763587</v>
      </c>
      <c r="AE99" s="22">
        <f t="shared" si="43"/>
        <v>454942.34894548287</v>
      </c>
      <c r="AF99" s="22">
        <f t="shared" si="43"/>
        <v>461051.8859543507</v>
      </c>
      <c r="AG99" s="22">
        <f t="shared" si="43"/>
        <v>467162.54174739111</v>
      </c>
      <c r="AH99" s="22">
        <f t="shared" si="43"/>
        <v>473795.99903372431</v>
      </c>
      <c r="AI99" s="22">
        <f t="shared" si="43"/>
        <v>480429.69545015413</v>
      </c>
      <c r="AJ99" s="22">
        <f t="shared" si="43"/>
        <v>487063.62163880555</v>
      </c>
      <c r="AK99" s="22">
        <f t="shared" si="43"/>
        <v>493697.76872378495</v>
      </c>
      <c r="AL99" s="22">
        <f t="shared" si="43"/>
        <v>500332.12828054396</v>
      </c>
      <c r="AM99" s="22">
        <f t="shared" si="43"/>
        <v>506966.69230755104</v>
      </c>
      <c r="AN99" s="22">
        <f t="shared" si="43"/>
        <v>513601.45320006914</v>
      </c>
      <c r="AO99" s="22">
        <f t="shared" si="43"/>
        <v>520236.40372586082</v>
      </c>
      <c r="AP99" s="22">
        <f t="shared" si="43"/>
        <v>526871.53700265719</v>
      </c>
      <c r="AQ99" s="22">
        <f t="shared" si="43"/>
        <v>533506.84647724184</v>
      </c>
      <c r="AR99" s="22">
        <f t="shared" si="43"/>
        <v>533506.84647724184</v>
      </c>
    </row>
    <row r="100" spans="1:44" x14ac:dyDescent="0.25">
      <c r="F100" s="12" t="s">
        <v>467</v>
      </c>
      <c r="M100" s="22">
        <f>M99-M96</f>
        <v>93325.551242612273</v>
      </c>
      <c r="N100" s="22">
        <f>N99-N96</f>
        <v>95241.136514006997</v>
      </c>
      <c r="O100" s="22">
        <f>O99-O96</f>
        <v>97157.583007196488</v>
      </c>
      <c r="P100" s="22">
        <f t="shared" ref="P100:AR100" si="44">P99-P96</f>
        <v>99074.852413039189</v>
      </c>
      <c r="Q100" s="22">
        <f t="shared" si="44"/>
        <v>100992.908661302</v>
      </c>
      <c r="R100" s="22">
        <f t="shared" si="44"/>
        <v>102911.71775945445</v>
      </c>
      <c r="S100" s="22">
        <f t="shared" si="44"/>
        <v>104831.24764519394</v>
      </c>
      <c r="T100" s="22">
        <f t="shared" si="44"/>
        <v>106751.46805135603</v>
      </c>
      <c r="U100" s="22">
        <f t="shared" si="44"/>
        <v>108672.35038201354</v>
      </c>
      <c r="V100" s="22">
        <f t="shared" si="44"/>
        <v>110593.86759869807</v>
      </c>
      <c r="W100" s="22">
        <f t="shared" si="44"/>
        <v>112515.99411579187</v>
      </c>
      <c r="X100" s="22">
        <f t="shared" si="44"/>
        <v>114693.43469813227</v>
      </c>
      <c r="Y100" s="22">
        <f t="shared" si="44"/>
        <v>116872.38665492658</v>
      </c>
      <c r="Z100" s="22">
        <f t="shared" si="44"/>
        <v>119052.7917582583</v>
      </c>
      <c r="AA100" s="22">
        <f t="shared" si="44"/>
        <v>121234.59473337349</v>
      </c>
      <c r="AB100" s="22">
        <f t="shared" si="44"/>
        <v>123417.74307380518</v>
      </c>
      <c r="AC100" s="22">
        <f t="shared" si="44"/>
        <v>125602.18687021238</v>
      </c>
      <c r="AD100" s="22">
        <f t="shared" si="44"/>
        <v>127787.87865176576</v>
      </c>
      <c r="AE100" s="22">
        <f t="shared" si="44"/>
        <v>129974.7732390156</v>
      </c>
      <c r="AF100" s="22">
        <f t="shared" si="44"/>
        <v>132162.82760728628</v>
      </c>
      <c r="AG100" s="22">
        <f t="shared" si="44"/>
        <v>134352.00075972971</v>
      </c>
      <c r="AH100" s="22">
        <f t="shared" si="44"/>
        <v>136467.36110181088</v>
      </c>
      <c r="AI100" s="22">
        <f t="shared" si="44"/>
        <v>138582.96057398868</v>
      </c>
      <c r="AJ100" s="22">
        <f t="shared" si="44"/>
        <v>140698.78981838806</v>
      </c>
      <c r="AK100" s="22">
        <f t="shared" si="44"/>
        <v>142814.83995911537</v>
      </c>
      <c r="AL100" s="22">
        <f t="shared" si="44"/>
        <v>144931.10257162241</v>
      </c>
      <c r="AM100" s="22">
        <f t="shared" si="44"/>
        <v>147047.56965437747</v>
      </c>
      <c r="AN100" s="22">
        <f t="shared" si="44"/>
        <v>149164.23360264354</v>
      </c>
      <c r="AO100" s="22">
        <f t="shared" si="44"/>
        <v>151281.08718418324</v>
      </c>
      <c r="AP100" s="22">
        <f t="shared" si="44"/>
        <v>153398.12351672759</v>
      </c>
      <c r="AQ100" s="22">
        <f t="shared" si="44"/>
        <v>155515.33604706009</v>
      </c>
      <c r="AR100" s="22">
        <f t="shared" si="44"/>
        <v>155515.33604706009</v>
      </c>
    </row>
    <row r="102" spans="1:44" ht="11" thickBot="1" x14ac:dyDescent="0.3">
      <c r="E102" s="1" t="s">
        <v>469</v>
      </c>
      <c r="F102" s="1"/>
    </row>
    <row r="104" spans="1:44" x14ac:dyDescent="0.25">
      <c r="F104" s="12" t="s">
        <v>66</v>
      </c>
      <c r="M104" s="22">
        <f t="shared" ref="M104:AR104" si="45">(M35/$M$35)*$N$19*$N$25*$O$25/MinutesinHour</f>
        <v>136376.04297971481</v>
      </c>
      <c r="N104" s="22">
        <f t="shared" si="45"/>
        <v>138492.285872023</v>
      </c>
      <c r="O104" s="22">
        <f t="shared" si="45"/>
        <v>140608.52876433119</v>
      </c>
      <c r="P104" s="22">
        <f t="shared" si="45"/>
        <v>142724.77165663941</v>
      </c>
      <c r="Q104" s="22">
        <f t="shared" si="45"/>
        <v>144841.01454894763</v>
      </c>
      <c r="R104" s="22">
        <f t="shared" si="45"/>
        <v>146957.25744125582</v>
      </c>
      <c r="S104" s="22">
        <f t="shared" si="45"/>
        <v>149073.50033356401</v>
      </c>
      <c r="T104" s="22">
        <f t="shared" si="45"/>
        <v>151189.7432258722</v>
      </c>
      <c r="U104" s="22">
        <f t="shared" si="45"/>
        <v>153305.98611818047</v>
      </c>
      <c r="V104" s="22">
        <f t="shared" si="45"/>
        <v>155422.22901048866</v>
      </c>
      <c r="W104" s="22">
        <f t="shared" si="45"/>
        <v>157538.47190279679</v>
      </c>
      <c r="X104" s="22">
        <f t="shared" si="45"/>
        <v>159642.67285706894</v>
      </c>
      <c r="Y104" s="22">
        <f t="shared" si="45"/>
        <v>161746.87381134109</v>
      </c>
      <c r="Z104" s="22">
        <f t="shared" si="45"/>
        <v>163851.0747656133</v>
      </c>
      <c r="AA104" s="22">
        <f t="shared" si="45"/>
        <v>165955.27571988551</v>
      </c>
      <c r="AB104" s="22">
        <f t="shared" si="45"/>
        <v>168059.47667415763</v>
      </c>
      <c r="AC104" s="22">
        <f t="shared" si="45"/>
        <v>170163.67762842981</v>
      </c>
      <c r="AD104" s="22">
        <f t="shared" si="45"/>
        <v>172267.87858270196</v>
      </c>
      <c r="AE104" s="22">
        <f t="shared" si="45"/>
        <v>174372.07953697411</v>
      </c>
      <c r="AF104" s="22">
        <f t="shared" si="45"/>
        <v>176476.28049124635</v>
      </c>
      <c r="AG104" s="22">
        <f t="shared" si="45"/>
        <v>178580.48144551841</v>
      </c>
      <c r="AH104" s="22">
        <f t="shared" si="45"/>
        <v>181004.81549794244</v>
      </c>
      <c r="AI104" s="22">
        <f t="shared" si="45"/>
        <v>183429.14955036651</v>
      </c>
      <c r="AJ104" s="22">
        <f t="shared" si="45"/>
        <v>185853.48360279057</v>
      </c>
      <c r="AK104" s="22">
        <f t="shared" si="45"/>
        <v>188277.81765521463</v>
      </c>
      <c r="AL104" s="22">
        <f t="shared" si="45"/>
        <v>190702.15170763861</v>
      </c>
      <c r="AM104" s="22">
        <f t="shared" si="45"/>
        <v>193126.48576006264</v>
      </c>
      <c r="AN104" s="22">
        <f t="shared" si="45"/>
        <v>195550.81981248668</v>
      </c>
      <c r="AO104" s="22">
        <f t="shared" si="45"/>
        <v>197975.15386491071</v>
      </c>
      <c r="AP104" s="22">
        <f t="shared" si="45"/>
        <v>200399.48791733474</v>
      </c>
      <c r="AQ104" s="22">
        <f t="shared" si="45"/>
        <v>202823.82196975881</v>
      </c>
      <c r="AR104" s="22">
        <f t="shared" si="45"/>
        <v>202823.82196975881</v>
      </c>
    </row>
    <row r="105" spans="1:44" x14ac:dyDescent="0.25">
      <c r="F105" s="12" t="s">
        <v>522</v>
      </c>
      <c r="M105" s="22">
        <f t="shared" ref="M105:AR105" si="46">(M35/$M$35)*$N$19*$N$25*$O$25/MinutesinHour*($N$29/$N$28)</f>
        <v>152945.73220175016</v>
      </c>
      <c r="N105" s="22">
        <f t="shared" si="46"/>
        <v>155319.09860547379</v>
      </c>
      <c r="O105" s="22">
        <f t="shared" si="46"/>
        <v>157692.46500919742</v>
      </c>
      <c r="P105" s="22">
        <f t="shared" si="46"/>
        <v>160065.83141292108</v>
      </c>
      <c r="Q105" s="22">
        <f t="shared" si="46"/>
        <v>162439.19781664477</v>
      </c>
      <c r="R105" s="22">
        <f t="shared" si="46"/>
        <v>164812.5642203684</v>
      </c>
      <c r="S105" s="22">
        <f t="shared" si="46"/>
        <v>167185.93062409203</v>
      </c>
      <c r="T105" s="22">
        <f t="shared" si="46"/>
        <v>169559.29702781566</v>
      </c>
      <c r="U105" s="22">
        <f t="shared" si="46"/>
        <v>171932.6634315394</v>
      </c>
      <c r="V105" s="22">
        <f t="shared" si="46"/>
        <v>174306.02983526303</v>
      </c>
      <c r="W105" s="22">
        <f t="shared" si="46"/>
        <v>176679.39623898661</v>
      </c>
      <c r="X105" s="22">
        <f t="shared" si="46"/>
        <v>179039.25760920282</v>
      </c>
      <c r="Y105" s="22">
        <f t="shared" si="46"/>
        <v>181399.11897941903</v>
      </c>
      <c r="Z105" s="22">
        <f t="shared" si="46"/>
        <v>183758.9803496353</v>
      </c>
      <c r="AA105" s="22">
        <f t="shared" si="46"/>
        <v>186118.8417198516</v>
      </c>
      <c r="AB105" s="22">
        <f t="shared" si="46"/>
        <v>188478.70309006778</v>
      </c>
      <c r="AC105" s="22">
        <f t="shared" si="46"/>
        <v>190838.56446028402</v>
      </c>
      <c r="AD105" s="22">
        <f t="shared" si="46"/>
        <v>193198.42583050023</v>
      </c>
      <c r="AE105" s="22">
        <f t="shared" si="46"/>
        <v>195558.28720071644</v>
      </c>
      <c r="AF105" s="22">
        <f t="shared" si="46"/>
        <v>197918.14857093277</v>
      </c>
      <c r="AG105" s="22">
        <f t="shared" si="46"/>
        <v>200278.00994114889</v>
      </c>
      <c r="AH105" s="22">
        <f t="shared" si="46"/>
        <v>202996.90058094243</v>
      </c>
      <c r="AI105" s="22">
        <f t="shared" si="46"/>
        <v>205715.79122073602</v>
      </c>
      <c r="AJ105" s="22">
        <f t="shared" si="46"/>
        <v>208434.68186052961</v>
      </c>
      <c r="AK105" s="22">
        <f t="shared" si="46"/>
        <v>211153.57250032321</v>
      </c>
      <c r="AL105" s="22">
        <f t="shared" si="46"/>
        <v>213872.46314011668</v>
      </c>
      <c r="AM105" s="22">
        <f t="shared" si="46"/>
        <v>216591.35377991025</v>
      </c>
      <c r="AN105" s="22">
        <f t="shared" si="46"/>
        <v>219310.24441970378</v>
      </c>
      <c r="AO105" s="22">
        <f t="shared" si="46"/>
        <v>222029.13505949735</v>
      </c>
      <c r="AP105" s="22">
        <f t="shared" si="46"/>
        <v>224748.02569929091</v>
      </c>
      <c r="AQ105" s="22">
        <f t="shared" si="46"/>
        <v>227466.91633908448</v>
      </c>
      <c r="AR105" s="22">
        <f t="shared" si="46"/>
        <v>227466.91633908448</v>
      </c>
    </row>
    <row r="106" spans="1:44" x14ac:dyDescent="0.25">
      <c r="F106" s="12" t="s">
        <v>523</v>
      </c>
      <c r="M106" s="22">
        <f t="shared" ref="M106:AR106" si="47">(M36/$M$36)*$N$19*$N$25*$O$25/MinutesinHour*($N$29/$N$28)*((M36-M35)/M35)</f>
        <v>33507.215862205921</v>
      </c>
      <c r="N106" s="22">
        <f t="shared" si="47"/>
        <v>34277.962859339917</v>
      </c>
      <c r="O106" s="22">
        <f t="shared" si="47"/>
        <v>35049.171973455865</v>
      </c>
      <c r="P106" s="22">
        <f t="shared" si="47"/>
        <v>35820.822648519235</v>
      </c>
      <c r="Q106" s="22">
        <f t="shared" si="47"/>
        <v>36592.895529855821</v>
      </c>
      <c r="R106" s="22">
        <f t="shared" si="47"/>
        <v>37365.37237765138</v>
      </c>
      <c r="S106" s="22">
        <f t="shared" si="47"/>
        <v>38138.235987819098</v>
      </c>
      <c r="T106" s="22">
        <f t="shared" si="47"/>
        <v>38911.470119512807</v>
      </c>
      <c r="U106" s="22">
        <f t="shared" si="47"/>
        <v>39685.059428643879</v>
      </c>
      <c r="V106" s="22">
        <f t="shared" si="47"/>
        <v>40458.989406829576</v>
      </c>
      <c r="W106" s="22">
        <f t="shared" si="47"/>
        <v>41233.246325262167</v>
      </c>
      <c r="X106" s="22">
        <f t="shared" si="47"/>
        <v>42145.963528486667</v>
      </c>
      <c r="Y106" s="22">
        <f t="shared" si="47"/>
        <v>43059.491709563052</v>
      </c>
      <c r="Z106" s="22">
        <f t="shared" si="47"/>
        <v>43973.799624380685</v>
      </c>
      <c r="AA106" s="22">
        <f t="shared" si="47"/>
        <v>44888.857613445893</v>
      </c>
      <c r="AB106" s="22">
        <f t="shared" si="47"/>
        <v>45804.637502680489</v>
      </c>
      <c r="AC106" s="22">
        <f t="shared" si="47"/>
        <v>46721.112511580257</v>
      </c>
      <c r="AD106" s="22">
        <f t="shared" si="47"/>
        <v>47638.257168104719</v>
      </c>
      <c r="AE106" s="22">
        <f t="shared" si="47"/>
        <v>48556.04722972872</v>
      </c>
      <c r="AF106" s="22">
        <f t="shared" si="47"/>
        <v>49474.459610142534</v>
      </c>
      <c r="AG106" s="22">
        <f t="shared" si="47"/>
        <v>50393.472311133912</v>
      </c>
      <c r="AH106" s="22">
        <f t="shared" si="47"/>
        <v>51233.982140827218</v>
      </c>
      <c r="AI106" s="22">
        <f t="shared" si="47"/>
        <v>52074.620283667318</v>
      </c>
      <c r="AJ106" s="22">
        <f t="shared" si="47"/>
        <v>52915.381718377357</v>
      </c>
      <c r="AK106" s="22">
        <f t="shared" si="47"/>
        <v>53756.261682303695</v>
      </c>
      <c r="AL106" s="22">
        <f t="shared" si="47"/>
        <v>54597.255654976885</v>
      </c>
      <c r="AM106" s="22">
        <f t="shared" si="47"/>
        <v>55438.359342910968</v>
      </c>
      <c r="AN106" s="22">
        <f t="shared" si="47"/>
        <v>56279.568665533283</v>
      </c>
      <c r="AO106" s="22">
        <f t="shared" si="47"/>
        <v>57120.879742148172</v>
      </c>
      <c r="AP106" s="22">
        <f t="shared" si="47"/>
        <v>57962.288879846972</v>
      </c>
      <c r="AQ106" s="22">
        <f t="shared" si="47"/>
        <v>58803.792562285009</v>
      </c>
      <c r="AR106" s="22">
        <f t="shared" si="47"/>
        <v>58803.792562285009</v>
      </c>
    </row>
    <row r="107" spans="1:44" x14ac:dyDescent="0.25">
      <c r="F107" s="12" t="s">
        <v>524</v>
      </c>
      <c r="M107" s="22">
        <f>SUM(M105:M106)</f>
        <v>186452.94806395608</v>
      </c>
      <c r="N107" s="22">
        <f>SUM(N105:N106)</f>
        <v>189597.06146481371</v>
      </c>
      <c r="O107" s="22">
        <f>SUM(O105:O106)</f>
        <v>192741.63698265329</v>
      </c>
      <c r="P107" s="22">
        <f t="shared" ref="P107:AR107" si="48">SUM(P105:P106)</f>
        <v>195886.65406144032</v>
      </c>
      <c r="Q107" s="22">
        <f t="shared" si="48"/>
        <v>199032.09334650059</v>
      </c>
      <c r="R107" s="22">
        <f t="shared" si="48"/>
        <v>202177.93659801979</v>
      </c>
      <c r="S107" s="22">
        <f t="shared" si="48"/>
        <v>205324.16661191112</v>
      </c>
      <c r="T107" s="22">
        <f t="shared" si="48"/>
        <v>208470.76714732847</v>
      </c>
      <c r="U107" s="22">
        <f t="shared" si="48"/>
        <v>211617.72286018328</v>
      </c>
      <c r="V107" s="22">
        <f t="shared" si="48"/>
        <v>214765.01924209262</v>
      </c>
      <c r="W107" s="22">
        <f t="shared" si="48"/>
        <v>217912.64256424876</v>
      </c>
      <c r="X107" s="22">
        <f t="shared" si="48"/>
        <v>221185.22113768948</v>
      </c>
      <c r="Y107" s="22">
        <f t="shared" si="48"/>
        <v>224458.61068898207</v>
      </c>
      <c r="Z107" s="22">
        <f t="shared" si="48"/>
        <v>227732.77997401598</v>
      </c>
      <c r="AA107" s="22">
        <f t="shared" si="48"/>
        <v>231007.6993332975</v>
      </c>
      <c r="AB107" s="22">
        <f t="shared" si="48"/>
        <v>234283.34059274825</v>
      </c>
      <c r="AC107" s="22">
        <f t="shared" si="48"/>
        <v>237559.67697186428</v>
      </c>
      <c r="AD107" s="22">
        <f t="shared" si="48"/>
        <v>240836.68299860496</v>
      </c>
      <c r="AE107" s="22">
        <f t="shared" si="48"/>
        <v>244114.33443044516</v>
      </c>
      <c r="AF107" s="22">
        <f t="shared" si="48"/>
        <v>247392.60818107531</v>
      </c>
      <c r="AG107" s="22">
        <f t="shared" si="48"/>
        <v>250671.48225228279</v>
      </c>
      <c r="AH107" s="22">
        <f t="shared" si="48"/>
        <v>254230.88272176965</v>
      </c>
      <c r="AI107" s="22">
        <f t="shared" si="48"/>
        <v>257790.41150440334</v>
      </c>
      <c r="AJ107" s="22">
        <f t="shared" si="48"/>
        <v>261350.06357890696</v>
      </c>
      <c r="AK107" s="22">
        <f t="shared" si="48"/>
        <v>264909.83418262692</v>
      </c>
      <c r="AL107" s="22">
        <f t="shared" si="48"/>
        <v>268469.71879509359</v>
      </c>
      <c r="AM107" s="22">
        <f t="shared" si="48"/>
        <v>272029.71312282124</v>
      </c>
      <c r="AN107" s="22">
        <f t="shared" si="48"/>
        <v>275589.81308523705</v>
      </c>
      <c r="AO107" s="22">
        <f t="shared" si="48"/>
        <v>279150.01480164554</v>
      </c>
      <c r="AP107" s="22">
        <f t="shared" si="48"/>
        <v>282710.31457913789</v>
      </c>
      <c r="AQ107" s="22">
        <f t="shared" si="48"/>
        <v>286270.70890136948</v>
      </c>
      <c r="AR107" s="22">
        <f t="shared" si="48"/>
        <v>286270.70890136948</v>
      </c>
    </row>
    <row r="108" spans="1:44" x14ac:dyDescent="0.25">
      <c r="F108" s="12" t="s">
        <v>467</v>
      </c>
      <c r="M108" s="22">
        <f>M107-M104</f>
        <v>50076.905084241269</v>
      </c>
      <c r="N108" s="22">
        <f>N107-N104</f>
        <v>51104.775592790713</v>
      </c>
      <c r="O108" s="22">
        <f>O107-O104</f>
        <v>52133.108218322101</v>
      </c>
      <c r="P108" s="22">
        <f t="shared" ref="P108:AR108" si="49">P107-P104</f>
        <v>53161.882404800912</v>
      </c>
      <c r="Q108" s="22">
        <f t="shared" si="49"/>
        <v>54191.078797552967</v>
      </c>
      <c r="R108" s="22">
        <f t="shared" si="49"/>
        <v>55220.679156763974</v>
      </c>
      <c r="S108" s="22">
        <f t="shared" si="49"/>
        <v>56250.666278347111</v>
      </c>
      <c r="T108" s="22">
        <f t="shared" si="49"/>
        <v>57281.023921456275</v>
      </c>
      <c r="U108" s="22">
        <f t="shared" si="49"/>
        <v>58311.736742002802</v>
      </c>
      <c r="V108" s="22">
        <f t="shared" si="49"/>
        <v>59342.790231603954</v>
      </c>
      <c r="W108" s="22">
        <f t="shared" si="49"/>
        <v>60374.170661451964</v>
      </c>
      <c r="X108" s="22">
        <f t="shared" si="49"/>
        <v>61542.54828062054</v>
      </c>
      <c r="Y108" s="22">
        <f t="shared" si="49"/>
        <v>62711.736877640971</v>
      </c>
      <c r="Z108" s="22">
        <f t="shared" si="49"/>
        <v>63881.70520840268</v>
      </c>
      <c r="AA108" s="22">
        <f t="shared" si="49"/>
        <v>65052.423613411986</v>
      </c>
      <c r="AB108" s="22">
        <f t="shared" si="49"/>
        <v>66223.863918590621</v>
      </c>
      <c r="AC108" s="22">
        <f t="shared" si="49"/>
        <v>67395.999343434465</v>
      </c>
      <c r="AD108" s="22">
        <f t="shared" si="49"/>
        <v>68568.804415902996</v>
      </c>
      <c r="AE108" s="22">
        <f t="shared" si="49"/>
        <v>69742.25489347105</v>
      </c>
      <c r="AF108" s="22">
        <f t="shared" si="49"/>
        <v>70916.327689828962</v>
      </c>
      <c r="AG108" s="22">
        <f t="shared" si="49"/>
        <v>72091.000806764379</v>
      </c>
      <c r="AH108" s="22">
        <f t="shared" si="49"/>
        <v>73226.067223827209</v>
      </c>
      <c r="AI108" s="22">
        <f t="shared" si="49"/>
        <v>74361.261954036832</v>
      </c>
      <c r="AJ108" s="22">
        <f t="shared" si="49"/>
        <v>75496.579976116394</v>
      </c>
      <c r="AK108" s="22">
        <f t="shared" si="49"/>
        <v>76632.016527412285</v>
      </c>
      <c r="AL108" s="22">
        <f t="shared" si="49"/>
        <v>77767.567087454983</v>
      </c>
      <c r="AM108" s="22">
        <f t="shared" si="49"/>
        <v>78903.227362758596</v>
      </c>
      <c r="AN108" s="22">
        <f t="shared" si="49"/>
        <v>80038.993272750376</v>
      </c>
      <c r="AO108" s="22">
        <f t="shared" si="49"/>
        <v>81174.860936734825</v>
      </c>
      <c r="AP108" s="22">
        <f t="shared" si="49"/>
        <v>82310.826661803148</v>
      </c>
      <c r="AQ108" s="22">
        <f t="shared" si="49"/>
        <v>83446.886931610672</v>
      </c>
      <c r="AR108" s="22">
        <f t="shared" si="49"/>
        <v>83446.886931610672</v>
      </c>
    </row>
    <row r="110" spans="1:44" s="13" customFormat="1" x14ac:dyDescent="0.25">
      <c r="A110" s="12"/>
      <c r="B110" s="12"/>
      <c r="C110" s="12"/>
      <c r="D110" s="13" t="s">
        <v>890</v>
      </c>
    </row>
    <row r="112" spans="1:44" ht="11" thickBot="1" x14ac:dyDescent="0.3">
      <c r="E112" s="1" t="s">
        <v>468</v>
      </c>
      <c r="F112" s="1"/>
    </row>
    <row r="113" spans="1:44" x14ac:dyDescent="0.25">
      <c r="M113" s="93">
        <v>2021</v>
      </c>
      <c r="N113" s="93">
        <v>2022</v>
      </c>
      <c r="O113" s="93">
        <v>2023</v>
      </c>
      <c r="P113" s="93">
        <v>2024</v>
      </c>
      <c r="Q113" s="93">
        <v>2025</v>
      </c>
      <c r="R113" s="93">
        <v>2026</v>
      </c>
      <c r="S113" s="93">
        <v>2027</v>
      </c>
      <c r="T113" s="93">
        <v>2028</v>
      </c>
      <c r="U113" s="93">
        <v>2029</v>
      </c>
      <c r="V113" s="93">
        <v>2030</v>
      </c>
      <c r="W113" s="93">
        <v>2031</v>
      </c>
      <c r="X113" s="93">
        <v>2032</v>
      </c>
      <c r="Y113" s="93">
        <v>2033</v>
      </c>
      <c r="Z113" s="93">
        <v>2034</v>
      </c>
      <c r="AA113" s="93">
        <v>2035</v>
      </c>
      <c r="AB113" s="93">
        <v>2036</v>
      </c>
      <c r="AC113" s="93">
        <v>2037</v>
      </c>
      <c r="AD113" s="93">
        <v>2038</v>
      </c>
      <c r="AE113" s="93">
        <v>2039</v>
      </c>
      <c r="AF113" s="93">
        <v>2040</v>
      </c>
      <c r="AG113" s="93">
        <v>2041</v>
      </c>
      <c r="AH113" s="93">
        <v>2042</v>
      </c>
      <c r="AI113" s="93">
        <v>2043</v>
      </c>
      <c r="AJ113" s="93">
        <v>2044</v>
      </c>
      <c r="AK113" s="93">
        <v>2045</v>
      </c>
      <c r="AL113" s="93">
        <v>2046</v>
      </c>
      <c r="AM113" s="93">
        <v>2047</v>
      </c>
      <c r="AN113" s="93">
        <v>2048</v>
      </c>
      <c r="AO113" s="93">
        <v>2049</v>
      </c>
      <c r="AP113" s="93">
        <v>2050</v>
      </c>
      <c r="AQ113" s="93">
        <v>2051</v>
      </c>
      <c r="AR113" s="93">
        <v>2052</v>
      </c>
    </row>
    <row r="114" spans="1:44" x14ac:dyDescent="0.25">
      <c r="F114" s="12" t="s">
        <v>66</v>
      </c>
      <c r="H114" s="12">
        <f>SUM(M114:AR114)</f>
        <v>164756926.04661381</v>
      </c>
      <c r="M114" s="22">
        <f>M42+M78</f>
        <v>4138213.7604599586</v>
      </c>
      <c r="N114" s="22">
        <f t="shared" ref="N114:AR118" si="50">N42+N78</f>
        <v>4202429.3313628919</v>
      </c>
      <c r="O114" s="22">
        <f t="shared" si="50"/>
        <v>4266644.9022658262</v>
      </c>
      <c r="P114" s="22">
        <f t="shared" si="50"/>
        <v>4330860.4731687587</v>
      </c>
      <c r="Q114" s="22">
        <f t="shared" si="50"/>
        <v>4395076.044071693</v>
      </c>
      <c r="R114" s="22">
        <f t="shared" si="50"/>
        <v>4459291.6149746263</v>
      </c>
      <c r="S114" s="22">
        <f t="shared" si="50"/>
        <v>4523507.1858775597</v>
      </c>
      <c r="T114" s="22">
        <f t="shared" si="50"/>
        <v>4587722.756780494</v>
      </c>
      <c r="U114" s="22">
        <f t="shared" si="50"/>
        <v>4651938.3276834283</v>
      </c>
      <c r="V114" s="22">
        <f t="shared" si="50"/>
        <v>4716153.8985863607</v>
      </c>
      <c r="W114" s="22">
        <f t="shared" si="50"/>
        <v>4780369.4694892922</v>
      </c>
      <c r="X114" s="22">
        <f t="shared" si="50"/>
        <v>4844219.6381368553</v>
      </c>
      <c r="Y114" s="22">
        <f t="shared" si="50"/>
        <v>4908069.8067844184</v>
      </c>
      <c r="Z114" s="22">
        <f t="shared" si="50"/>
        <v>4971919.9754319806</v>
      </c>
      <c r="AA114" s="22">
        <f t="shared" si="50"/>
        <v>5035770.1440795446</v>
      </c>
      <c r="AB114" s="22">
        <f t="shared" si="50"/>
        <v>5099620.3127271067</v>
      </c>
      <c r="AC114" s="22">
        <f t="shared" si="50"/>
        <v>5163470.4813746708</v>
      </c>
      <c r="AD114" s="22">
        <f t="shared" si="50"/>
        <v>5227320.6500222329</v>
      </c>
      <c r="AE114" s="22">
        <f t="shared" si="50"/>
        <v>5291170.8186697951</v>
      </c>
      <c r="AF114" s="22">
        <f t="shared" si="50"/>
        <v>5355020.9873173591</v>
      </c>
      <c r="AG114" s="22">
        <f>AG42+AG78</f>
        <v>5418871.1559649194</v>
      </c>
      <c r="AH114" s="22">
        <f t="shared" si="50"/>
        <v>5492435.488207534</v>
      </c>
      <c r="AI114" s="22">
        <f t="shared" si="50"/>
        <v>5565999.8204501495</v>
      </c>
      <c r="AJ114" s="22">
        <f t="shared" si="50"/>
        <v>5639564.1526927631</v>
      </c>
      <c r="AK114" s="22">
        <f t="shared" si="50"/>
        <v>5713128.4849353787</v>
      </c>
      <c r="AL114" s="22">
        <f t="shared" si="50"/>
        <v>5786692.8171779914</v>
      </c>
      <c r="AM114" s="22">
        <f t="shared" si="50"/>
        <v>5860257.149420606</v>
      </c>
      <c r="AN114" s="22">
        <f t="shared" si="50"/>
        <v>5933821.4816632206</v>
      </c>
      <c r="AO114" s="22">
        <f t="shared" si="50"/>
        <v>6007385.8139058352</v>
      </c>
      <c r="AP114" s="22">
        <f t="shared" si="50"/>
        <v>6080950.1461484488</v>
      </c>
      <c r="AQ114" s="22">
        <f t="shared" si="50"/>
        <v>6154514.4783910643</v>
      </c>
      <c r="AR114" s="22">
        <f t="shared" si="50"/>
        <v>6154514.4783910643</v>
      </c>
    </row>
    <row r="115" spans="1:44" x14ac:dyDescent="0.25">
      <c r="F115" s="12" t="s">
        <v>522</v>
      </c>
      <c r="H115" s="12">
        <f t="shared" ref="H115:H118" si="51">SUM(M115:AR115)</f>
        <v>184774892.56127739</v>
      </c>
      <c r="I115" s="14">
        <f>H115/H114</f>
        <v>1.1214999999999999</v>
      </c>
      <c r="M115" s="22">
        <f t="shared" ref="M115:AB118" si="52">M43+M79</f>
        <v>4641006.7323558442</v>
      </c>
      <c r="N115" s="22">
        <f t="shared" si="52"/>
        <v>4713024.4951234832</v>
      </c>
      <c r="O115" s="22">
        <f t="shared" si="52"/>
        <v>4785042.2578911232</v>
      </c>
      <c r="P115" s="22">
        <f t="shared" si="52"/>
        <v>4857060.0206587631</v>
      </c>
      <c r="Q115" s="22">
        <f t="shared" si="52"/>
        <v>4929077.7834264031</v>
      </c>
      <c r="R115" s="22">
        <f t="shared" si="52"/>
        <v>5001095.546194043</v>
      </c>
      <c r="S115" s="22">
        <f t="shared" si="52"/>
        <v>5073113.3089616839</v>
      </c>
      <c r="T115" s="22">
        <f t="shared" si="52"/>
        <v>5145131.0717293229</v>
      </c>
      <c r="U115" s="22">
        <f t="shared" si="52"/>
        <v>5217148.8344969647</v>
      </c>
      <c r="V115" s="22">
        <f t="shared" si="52"/>
        <v>5289166.5972646037</v>
      </c>
      <c r="W115" s="22">
        <f>W43+W79</f>
        <v>5361184.3600322409</v>
      </c>
      <c r="X115" s="22">
        <f t="shared" si="52"/>
        <v>5432792.3241704833</v>
      </c>
      <c r="Y115" s="22">
        <f t="shared" si="52"/>
        <v>5504400.2883087248</v>
      </c>
      <c r="Z115" s="22">
        <f t="shared" si="52"/>
        <v>5576008.2524469662</v>
      </c>
      <c r="AA115" s="22">
        <f t="shared" si="52"/>
        <v>5647616.2165852096</v>
      </c>
      <c r="AB115" s="22">
        <f t="shared" si="52"/>
        <v>5719224.1807234511</v>
      </c>
      <c r="AC115" s="22">
        <f t="shared" si="50"/>
        <v>5790832.1448616926</v>
      </c>
      <c r="AD115" s="22">
        <f t="shared" si="50"/>
        <v>5862440.1089999331</v>
      </c>
      <c r="AE115" s="22">
        <f t="shared" si="50"/>
        <v>5934048.0731381755</v>
      </c>
      <c r="AF115" s="22">
        <f t="shared" si="50"/>
        <v>6005656.037276417</v>
      </c>
      <c r="AG115" s="22">
        <f t="shared" si="50"/>
        <v>6077264.0014146566</v>
      </c>
      <c r="AH115" s="22">
        <f t="shared" si="50"/>
        <v>6159766.4000247493</v>
      </c>
      <c r="AI115" s="22">
        <f t="shared" si="50"/>
        <v>6242268.798634842</v>
      </c>
      <c r="AJ115" s="22">
        <f t="shared" si="50"/>
        <v>6324771.1972449329</v>
      </c>
      <c r="AK115" s="22">
        <f t="shared" si="50"/>
        <v>6407273.5958550265</v>
      </c>
      <c r="AL115" s="22">
        <f t="shared" si="50"/>
        <v>6489775.9944651173</v>
      </c>
      <c r="AM115" s="22">
        <f t="shared" si="50"/>
        <v>6572278.3930752091</v>
      </c>
      <c r="AN115" s="22">
        <f t="shared" si="50"/>
        <v>6654780.7916853018</v>
      </c>
      <c r="AO115" s="22">
        <f t="shared" si="50"/>
        <v>6737283.1902953936</v>
      </c>
      <c r="AP115" s="22">
        <f t="shared" si="50"/>
        <v>6819785.5889054853</v>
      </c>
      <c r="AQ115" s="22">
        <f t="shared" si="50"/>
        <v>6902287.987515578</v>
      </c>
      <c r="AR115" s="22">
        <f t="shared" si="50"/>
        <v>6902287.987515578</v>
      </c>
    </row>
    <row r="116" spans="1:44" x14ac:dyDescent="0.25">
      <c r="F116" s="12" t="s">
        <v>523</v>
      </c>
      <c r="H116" s="12">
        <f t="shared" si="51"/>
        <v>44990732.383235388</v>
      </c>
      <c r="I116" s="14">
        <f>(H114+H116)/H114</f>
        <v>1.2730733903745353</v>
      </c>
      <c r="M116" s="22">
        <f t="shared" si="52"/>
        <v>1016747.6539578706</v>
      </c>
      <c r="N116" s="22">
        <f t="shared" si="50"/>
        <v>1040135.3088544677</v>
      </c>
      <c r="O116" s="22">
        <f t="shared" si="50"/>
        <v>1063536.9862935285</v>
      </c>
      <c r="P116" s="22">
        <f t="shared" si="50"/>
        <v>1086952.0625198598</v>
      </c>
      <c r="Q116" s="22">
        <f t="shared" si="50"/>
        <v>1110379.9502325151</v>
      </c>
      <c r="R116" s="22">
        <f t="shared" si="50"/>
        <v>1133820.095960015</v>
      </c>
      <c r="S116" s="22">
        <f t="shared" si="50"/>
        <v>1157271.9776591384</v>
      </c>
      <c r="T116" s="22">
        <f t="shared" si="50"/>
        <v>1180735.1025153724</v>
      </c>
      <c r="U116" s="22">
        <f t="shared" si="50"/>
        <v>1204209.004925542</v>
      </c>
      <c r="V116" s="22">
        <f t="shared" si="50"/>
        <v>1227693.2446452482</v>
      </c>
      <c r="W116" s="22">
        <f t="shared" si="50"/>
        <v>1251187.4050856242</v>
      </c>
      <c r="X116" s="22">
        <f t="shared" si="50"/>
        <v>1278883.0238121036</v>
      </c>
      <c r="Y116" s="22">
        <f t="shared" si="50"/>
        <v>1306603.2509641743</v>
      </c>
      <c r="Z116" s="22">
        <f t="shared" si="50"/>
        <v>1334347.1384661645</v>
      </c>
      <c r="AA116" s="22">
        <f t="shared" si="50"/>
        <v>1362113.7863262417</v>
      </c>
      <c r="AB116" s="22">
        <f t="shared" si="50"/>
        <v>1389902.3396262282</v>
      </c>
      <c r="AC116" s="22">
        <f t="shared" si="50"/>
        <v>1417711.9857347524</v>
      </c>
      <c r="AD116" s="22">
        <f t="shared" si="50"/>
        <v>1445541.9517246461</v>
      </c>
      <c r="AE116" s="22">
        <f t="shared" si="50"/>
        <v>1473391.5019773312</v>
      </c>
      <c r="AF116" s="22">
        <f t="shared" si="50"/>
        <v>1501259.935958588</v>
      </c>
      <c r="AG116" s="22">
        <f t="shared" si="50"/>
        <v>1529146.5861515817</v>
      </c>
      <c r="AH116" s="22">
        <f t="shared" si="50"/>
        <v>1554651.134216201</v>
      </c>
      <c r="AI116" s="22">
        <f t="shared" si="50"/>
        <v>1580159.5758329281</v>
      </c>
      <c r="AJ116" s="22">
        <f t="shared" si="50"/>
        <v>1605671.7586354362</v>
      </c>
      <c r="AK116" s="22">
        <f t="shared" si="50"/>
        <v>1631187.5381050946</v>
      </c>
      <c r="AL116" s="22">
        <f t="shared" si="50"/>
        <v>1656706.7770721449</v>
      </c>
      <c r="AM116" s="22">
        <f t="shared" si="50"/>
        <v>1682229.345254448</v>
      </c>
      <c r="AN116" s="22">
        <f t="shared" si="50"/>
        <v>1707755.1188305346</v>
      </c>
      <c r="AO116" s="22">
        <f t="shared" si="50"/>
        <v>1733283.9800440324</v>
      </c>
      <c r="AP116" s="22">
        <f t="shared" si="50"/>
        <v>1758815.8168368028</v>
      </c>
      <c r="AQ116" s="22">
        <f t="shared" si="50"/>
        <v>1784350.5225083902</v>
      </c>
      <c r="AR116" s="22">
        <f t="shared" si="50"/>
        <v>1784350.5225083902</v>
      </c>
    </row>
    <row r="117" spans="1:44" x14ac:dyDescent="0.25">
      <c r="F117" s="12" t="s">
        <v>524</v>
      </c>
      <c r="H117" s="12">
        <f t="shared" si="51"/>
        <v>229765624.94451284</v>
      </c>
      <c r="I117" s="14">
        <f>H117/H114</f>
        <v>1.3945733903745354</v>
      </c>
      <c r="M117" s="22">
        <f t="shared" si="52"/>
        <v>5657754.3863137141</v>
      </c>
      <c r="N117" s="22">
        <f t="shared" si="50"/>
        <v>5753159.8039779514</v>
      </c>
      <c r="O117" s="22">
        <f t="shared" si="50"/>
        <v>5848579.2441846523</v>
      </c>
      <c r="P117" s="22">
        <f t="shared" si="50"/>
        <v>5944012.0831786226</v>
      </c>
      <c r="Q117" s="22">
        <f t="shared" si="50"/>
        <v>6039457.7336589182</v>
      </c>
      <c r="R117" s="22">
        <f t="shared" si="50"/>
        <v>6134915.6421540584</v>
      </c>
      <c r="S117" s="22">
        <f t="shared" si="50"/>
        <v>6230385.2866208218</v>
      </c>
      <c r="T117" s="22">
        <f t="shared" si="50"/>
        <v>6325866.1742446963</v>
      </c>
      <c r="U117" s="22">
        <f t="shared" si="50"/>
        <v>6421357.8394225072</v>
      </c>
      <c r="V117" s="22">
        <f t="shared" si="50"/>
        <v>6516859.8419098519</v>
      </c>
      <c r="W117" s="22">
        <f t="shared" si="50"/>
        <v>6612371.7651178651</v>
      </c>
      <c r="X117" s="22">
        <f t="shared" si="50"/>
        <v>6711675.3479825864</v>
      </c>
      <c r="Y117" s="22">
        <f t="shared" si="50"/>
        <v>6811003.5392728988</v>
      </c>
      <c r="Z117" s="22">
        <f t="shared" si="50"/>
        <v>6910355.3909131307</v>
      </c>
      <c r="AA117" s="22">
        <f t="shared" si="50"/>
        <v>7009730.0029114513</v>
      </c>
      <c r="AB117" s="22">
        <f t="shared" si="50"/>
        <v>7109126.5203496786</v>
      </c>
      <c r="AC117" s="22">
        <f t="shared" si="50"/>
        <v>7208544.1305964449</v>
      </c>
      <c r="AD117" s="22">
        <f t="shared" si="50"/>
        <v>7307982.0607245788</v>
      </c>
      <c r="AE117" s="22">
        <f t="shared" si="50"/>
        <v>7407439.5751155065</v>
      </c>
      <c r="AF117" s="22">
        <f t="shared" si="50"/>
        <v>7506915.9732350055</v>
      </c>
      <c r="AG117" s="22">
        <f t="shared" si="50"/>
        <v>7606410.5875662379</v>
      </c>
      <c r="AH117" s="22">
        <f t="shared" si="50"/>
        <v>7714417.5342409508</v>
      </c>
      <c r="AI117" s="22">
        <f t="shared" si="50"/>
        <v>7822428.3744677696</v>
      </c>
      <c r="AJ117" s="22">
        <f t="shared" si="50"/>
        <v>7930442.9558803691</v>
      </c>
      <c r="AK117" s="22">
        <f t="shared" si="50"/>
        <v>8038461.1339601213</v>
      </c>
      <c r="AL117" s="22">
        <f t="shared" si="50"/>
        <v>8146482.7715372629</v>
      </c>
      <c r="AM117" s="22">
        <f t="shared" si="50"/>
        <v>8254507.7383296574</v>
      </c>
      <c r="AN117" s="22">
        <f t="shared" si="50"/>
        <v>8362535.9105158355</v>
      </c>
      <c r="AO117" s="22">
        <f t="shared" si="50"/>
        <v>8470567.170339426</v>
      </c>
      <c r="AP117" s="22">
        <f t="shared" si="50"/>
        <v>8578601.4057422876</v>
      </c>
      <c r="AQ117" s="22">
        <f t="shared" si="50"/>
        <v>8686638.5100239683</v>
      </c>
      <c r="AR117" s="22">
        <f t="shared" si="50"/>
        <v>8686638.5100239683</v>
      </c>
    </row>
    <row r="118" spans="1:44" x14ac:dyDescent="0.25">
      <c r="F118" s="12" t="s">
        <v>467</v>
      </c>
      <c r="H118" s="12">
        <f t="shared" si="51"/>
        <v>65008698.897898972</v>
      </c>
      <c r="M118" s="22">
        <f t="shared" si="52"/>
        <v>1519540.6258537555</v>
      </c>
      <c r="N118" s="22">
        <f t="shared" si="50"/>
        <v>1550730.4726150592</v>
      </c>
      <c r="O118" s="22">
        <f t="shared" si="50"/>
        <v>1581934.3419188261</v>
      </c>
      <c r="P118" s="22">
        <f t="shared" si="50"/>
        <v>1613151.6100098637</v>
      </c>
      <c r="Q118" s="22">
        <f t="shared" si="50"/>
        <v>1644381.6895872252</v>
      </c>
      <c r="R118" s="22">
        <f t="shared" si="50"/>
        <v>1675624.0271794319</v>
      </c>
      <c r="S118" s="22">
        <f t="shared" si="50"/>
        <v>1706878.1007432616</v>
      </c>
      <c r="T118" s="22">
        <f t="shared" si="50"/>
        <v>1738143.417464202</v>
      </c>
      <c r="U118" s="22">
        <f t="shared" si="50"/>
        <v>1769419.5117390789</v>
      </c>
      <c r="V118" s="22">
        <f t="shared" si="50"/>
        <v>1800705.9433234902</v>
      </c>
      <c r="W118" s="22">
        <f t="shared" si="50"/>
        <v>1832002.2956285733</v>
      </c>
      <c r="X118" s="22">
        <f t="shared" si="50"/>
        <v>1867455.7098457313</v>
      </c>
      <c r="Y118" s="22">
        <f t="shared" si="50"/>
        <v>1902933.7324884804</v>
      </c>
      <c r="Z118" s="22">
        <f t="shared" si="50"/>
        <v>1938435.4154811502</v>
      </c>
      <c r="AA118" s="22">
        <f t="shared" si="50"/>
        <v>1973959.8588319065</v>
      </c>
      <c r="AB118" s="22">
        <f t="shared" si="50"/>
        <v>2009506.2076225714</v>
      </c>
      <c r="AC118" s="22">
        <f t="shared" si="50"/>
        <v>2045073.6492217744</v>
      </c>
      <c r="AD118" s="22">
        <f t="shared" si="50"/>
        <v>2080661.4107023464</v>
      </c>
      <c r="AE118" s="22">
        <f t="shared" si="50"/>
        <v>2116268.7564457115</v>
      </c>
      <c r="AF118" s="22">
        <f t="shared" si="50"/>
        <v>2151894.9859176469</v>
      </c>
      <c r="AG118" s="22">
        <f t="shared" si="50"/>
        <v>2187539.4316013185</v>
      </c>
      <c r="AH118" s="22">
        <f t="shared" si="50"/>
        <v>2221982.0460334169</v>
      </c>
      <c r="AI118" s="22">
        <f t="shared" si="50"/>
        <v>2256428.5540176211</v>
      </c>
      <c r="AJ118" s="22">
        <f t="shared" si="50"/>
        <v>2290878.8031876059</v>
      </c>
      <c r="AK118" s="22">
        <f t="shared" si="50"/>
        <v>2325332.6490247431</v>
      </c>
      <c r="AL118" s="22">
        <f t="shared" si="50"/>
        <v>2359789.9543592706</v>
      </c>
      <c r="AM118" s="22">
        <f t="shared" si="50"/>
        <v>2394250.5889090514</v>
      </c>
      <c r="AN118" s="22">
        <f t="shared" si="50"/>
        <v>2428714.4288526159</v>
      </c>
      <c r="AO118" s="22">
        <f t="shared" si="50"/>
        <v>2463181.3564335909</v>
      </c>
      <c r="AP118" s="22">
        <f t="shared" si="50"/>
        <v>2497651.2595938393</v>
      </c>
      <c r="AQ118" s="22">
        <f t="shared" si="50"/>
        <v>2532124.031632904</v>
      </c>
      <c r="AR118" s="22">
        <f t="shared" si="50"/>
        <v>2532124.031632904</v>
      </c>
    </row>
    <row r="120" spans="1:44" ht="11" thickBot="1" x14ac:dyDescent="0.3">
      <c r="E120" s="1" t="s">
        <v>469</v>
      </c>
      <c r="F120" s="1"/>
    </row>
    <row r="122" spans="1:44" x14ac:dyDescent="0.25">
      <c r="F122" s="12" t="s">
        <v>66</v>
      </c>
      <c r="H122" s="12">
        <f>SUM(M122:AR122)</f>
        <v>653522146.93851006</v>
      </c>
      <c r="M122" s="22">
        <f>M50+M86</f>
        <v>16414571.49098018</v>
      </c>
      <c r="N122" s="22">
        <f t="shared" ref="N122:AR126" si="53">N50+N86</f>
        <v>16669287.931559397</v>
      </c>
      <c r="O122" s="22">
        <f t="shared" si="53"/>
        <v>16924004.372138619</v>
      </c>
      <c r="P122" s="22">
        <f t="shared" si="53"/>
        <v>17178720.81271784</v>
      </c>
      <c r="Q122" s="22">
        <f t="shared" si="53"/>
        <v>17433437.253297061</v>
      </c>
      <c r="R122" s="22">
        <f t="shared" si="53"/>
        <v>17688153.693876281</v>
      </c>
      <c r="S122" s="22">
        <f t="shared" si="53"/>
        <v>17942870.134455498</v>
      </c>
      <c r="T122" s="22">
        <f t="shared" si="53"/>
        <v>18197586.575034719</v>
      </c>
      <c r="U122" s="22">
        <f t="shared" si="53"/>
        <v>18452303.015613943</v>
      </c>
      <c r="V122" s="22">
        <f t="shared" si="53"/>
        <v>18707019.45619316</v>
      </c>
      <c r="W122" s="22">
        <f t="shared" si="53"/>
        <v>18961735.89677237</v>
      </c>
      <c r="X122" s="22">
        <f t="shared" si="53"/>
        <v>19215002.938700162</v>
      </c>
      <c r="Y122" s="22">
        <f t="shared" si="53"/>
        <v>19468269.980627947</v>
      </c>
      <c r="Z122" s="22">
        <f t="shared" si="53"/>
        <v>19721537.022555739</v>
      </c>
      <c r="AA122" s="22">
        <f t="shared" si="53"/>
        <v>19974804.064483527</v>
      </c>
      <c r="AB122" s="22">
        <f t="shared" si="53"/>
        <v>20228071.106411316</v>
      </c>
      <c r="AC122" s="22">
        <f t="shared" si="53"/>
        <v>20481338.148339104</v>
      </c>
      <c r="AD122" s="22">
        <f t="shared" si="53"/>
        <v>20734605.190266889</v>
      </c>
      <c r="AE122" s="22">
        <f t="shared" si="53"/>
        <v>20987872.232194677</v>
      </c>
      <c r="AF122" s="22">
        <f t="shared" si="53"/>
        <v>21241139.274122465</v>
      </c>
      <c r="AG122" s="22">
        <f t="shared" si="53"/>
        <v>21494406.316050246</v>
      </c>
      <c r="AH122" s="22">
        <f t="shared" si="53"/>
        <v>21786205.401520494</v>
      </c>
      <c r="AI122" s="22">
        <f t="shared" si="53"/>
        <v>22078004.486990746</v>
      </c>
      <c r="AJ122" s="22">
        <f t="shared" si="53"/>
        <v>22369803.572460994</v>
      </c>
      <c r="AK122" s="22">
        <f t="shared" si="53"/>
        <v>22661602.657931246</v>
      </c>
      <c r="AL122" s="22">
        <f t="shared" si="53"/>
        <v>22953401.743401486</v>
      </c>
      <c r="AM122" s="22">
        <f t="shared" si="53"/>
        <v>23245200.828871738</v>
      </c>
      <c r="AN122" s="22">
        <f t="shared" si="53"/>
        <v>23536999.914341982</v>
      </c>
      <c r="AO122" s="22">
        <f t="shared" si="53"/>
        <v>23828798.99981223</v>
      </c>
      <c r="AP122" s="22">
        <f t="shared" si="53"/>
        <v>24120598.085282478</v>
      </c>
      <c r="AQ122" s="22">
        <f t="shared" si="53"/>
        <v>24412397.170752726</v>
      </c>
      <c r="AR122" s="22">
        <f t="shared" si="53"/>
        <v>24412397.170752726</v>
      </c>
    </row>
    <row r="123" spans="1:44" x14ac:dyDescent="0.25">
      <c r="F123" s="12" t="s">
        <v>522</v>
      </c>
      <c r="H123" s="12">
        <f t="shared" ref="H123:H124" si="54">SUM(M123:AR123)</f>
        <v>732925087.79153895</v>
      </c>
      <c r="I123" s="14">
        <f>H123/H122</f>
        <v>1.1214999999999999</v>
      </c>
      <c r="M123" s="22">
        <f t="shared" ref="M123:AB126" si="55">M51+M87</f>
        <v>18408941.927134272</v>
      </c>
      <c r="N123" s="22">
        <f t="shared" si="55"/>
        <v>18694606.415243864</v>
      </c>
      <c r="O123" s="22">
        <f t="shared" si="55"/>
        <v>18980270.90335346</v>
      </c>
      <c r="P123" s="22">
        <f t="shared" si="55"/>
        <v>19265935.391463052</v>
      </c>
      <c r="Q123" s="22">
        <f t="shared" si="55"/>
        <v>19551599.879572652</v>
      </c>
      <c r="R123" s="22">
        <f t="shared" si="55"/>
        <v>19837264.367682248</v>
      </c>
      <c r="S123" s="22">
        <f t="shared" si="55"/>
        <v>20122928.855791841</v>
      </c>
      <c r="T123" s="22">
        <f t="shared" si="55"/>
        <v>20408593.343901437</v>
      </c>
      <c r="U123" s="22">
        <f t="shared" si="55"/>
        <v>20694257.832011037</v>
      </c>
      <c r="V123" s="22">
        <f t="shared" si="55"/>
        <v>20979922.320120629</v>
      </c>
      <c r="W123" s="22">
        <f t="shared" si="55"/>
        <v>21265586.808230214</v>
      </c>
      <c r="X123" s="22">
        <f t="shared" si="55"/>
        <v>21549625.795752227</v>
      </c>
      <c r="Y123" s="22">
        <f t="shared" si="55"/>
        <v>21833664.783274241</v>
      </c>
      <c r="Z123" s="22">
        <f t="shared" si="55"/>
        <v>22117703.770796258</v>
      </c>
      <c r="AA123" s="22">
        <f t="shared" si="55"/>
        <v>22401742.758318279</v>
      </c>
      <c r="AB123" s="22">
        <f t="shared" si="55"/>
        <v>22685781.745840285</v>
      </c>
      <c r="AC123" s="22">
        <f t="shared" si="53"/>
        <v>22969820.733362306</v>
      </c>
      <c r="AD123" s="22">
        <f t="shared" si="53"/>
        <v>23253859.720884312</v>
      </c>
      <c r="AE123" s="22">
        <f t="shared" si="53"/>
        <v>23537898.708406325</v>
      </c>
      <c r="AF123" s="22">
        <f t="shared" si="53"/>
        <v>23821937.695928346</v>
      </c>
      <c r="AG123" s="22">
        <f t="shared" si="53"/>
        <v>24105976.683450349</v>
      </c>
      <c r="AH123" s="22">
        <f t="shared" si="53"/>
        <v>24433229.357805233</v>
      </c>
      <c r="AI123" s="22">
        <f t="shared" si="53"/>
        <v>24760482.032160118</v>
      </c>
      <c r="AJ123" s="22">
        <f t="shared" si="53"/>
        <v>25087734.706515003</v>
      </c>
      <c r="AK123" s="22">
        <f t="shared" si="53"/>
        <v>25414987.380869888</v>
      </c>
      <c r="AL123" s="22">
        <f t="shared" si="53"/>
        <v>25742240.055224765</v>
      </c>
      <c r="AM123" s="22">
        <f t="shared" si="53"/>
        <v>26069492.729579654</v>
      </c>
      <c r="AN123" s="22">
        <f t="shared" si="53"/>
        <v>26396745.403934531</v>
      </c>
      <c r="AO123" s="22">
        <f t="shared" si="53"/>
        <v>26723998.078289412</v>
      </c>
      <c r="AP123" s="22">
        <f t="shared" si="53"/>
        <v>27051250.7526443</v>
      </c>
      <c r="AQ123" s="22">
        <f t="shared" si="53"/>
        <v>27378503.426999185</v>
      </c>
      <c r="AR123" s="22">
        <f t="shared" si="53"/>
        <v>27378503.426999185</v>
      </c>
    </row>
    <row r="124" spans="1:44" x14ac:dyDescent="0.25">
      <c r="F124" s="12" t="s">
        <v>523</v>
      </c>
      <c r="H124" s="12">
        <f t="shared" si="54"/>
        <v>178459508.34934402</v>
      </c>
      <c r="I124" s="14">
        <f>(H122+H124)/H122</f>
        <v>1.273073390374535</v>
      </c>
      <c r="M124" s="22">
        <f t="shared" si="55"/>
        <v>4033014.7305688779</v>
      </c>
      <c r="N124" s="22">
        <f t="shared" si="53"/>
        <v>4125783.8226285148</v>
      </c>
      <c r="O124" s="22">
        <f t="shared" si="53"/>
        <v>4218608.5362773398</v>
      </c>
      <c r="P124" s="22">
        <f t="shared" si="53"/>
        <v>4311486.3973381333</v>
      </c>
      <c r="Q124" s="22">
        <f t="shared" si="53"/>
        <v>4404415.0762325004</v>
      </c>
      <c r="R124" s="22">
        <f t="shared" si="53"/>
        <v>4497392.3775694612</v>
      </c>
      <c r="S124" s="22">
        <f t="shared" si="53"/>
        <v>4590416.2306208517</v>
      </c>
      <c r="T124" s="22">
        <f t="shared" si="53"/>
        <v>4683484.6805966301</v>
      </c>
      <c r="U124" s="22">
        <f t="shared" si="53"/>
        <v>4776595.8806428052</v>
      </c>
      <c r="V124" s="22">
        <f t="shared" si="53"/>
        <v>4869748.0844930932</v>
      </c>
      <c r="W124" s="22">
        <f t="shared" si="53"/>
        <v>4962939.6397128608</v>
      </c>
      <c r="X124" s="22">
        <f t="shared" si="53"/>
        <v>5072796.6311318344</v>
      </c>
      <c r="Y124" s="22">
        <f t="shared" si="53"/>
        <v>5182751.2339320779</v>
      </c>
      <c r="Z124" s="22">
        <f t="shared" si="53"/>
        <v>5292799.6874920297</v>
      </c>
      <c r="AA124" s="22">
        <f t="shared" si="53"/>
        <v>5402938.4219187042</v>
      </c>
      <c r="AB124" s="22">
        <f t="shared" si="53"/>
        <v>5513164.0461075436</v>
      </c>
      <c r="AC124" s="22">
        <f t="shared" si="53"/>
        <v>5623473.336688146</v>
      </c>
      <c r="AD124" s="22">
        <f t="shared" si="53"/>
        <v>5733863.2277801633</v>
      </c>
      <c r="AE124" s="22">
        <f t="shared" si="53"/>
        <v>5844330.8014908861</v>
      </c>
      <c r="AF124" s="22">
        <f t="shared" si="53"/>
        <v>5954873.279092662</v>
      </c>
      <c r="AG124" s="22">
        <f t="shared" si="53"/>
        <v>6065488.0128240502</v>
      </c>
      <c r="AH124" s="22">
        <f t="shared" si="53"/>
        <v>6166653.938942208</v>
      </c>
      <c r="AI124" s="22">
        <f t="shared" si="53"/>
        <v>6267835.3091609208</v>
      </c>
      <c r="AJ124" s="22">
        <f t="shared" si="53"/>
        <v>6369031.5191063862</v>
      </c>
      <c r="AK124" s="22">
        <f t="shared" si="53"/>
        <v>6470241.9955333527</v>
      </c>
      <c r="AL124" s="22">
        <f t="shared" si="53"/>
        <v>6571466.1943464912</v>
      </c>
      <c r="AM124" s="22">
        <f t="shared" si="53"/>
        <v>6672703.5987707758</v>
      </c>
      <c r="AN124" s="22">
        <f t="shared" si="53"/>
        <v>6773953.7176579833</v>
      </c>
      <c r="AO124" s="22">
        <f t="shared" si="53"/>
        <v>6875216.0839175982</v>
      </c>
      <c r="AP124" s="22">
        <f t="shared" si="53"/>
        <v>6976490.2530616261</v>
      </c>
      <c r="AQ124" s="22">
        <f t="shared" si="53"/>
        <v>7077775.8018537769</v>
      </c>
      <c r="AR124" s="22">
        <f t="shared" si="53"/>
        <v>7077775.8018537769</v>
      </c>
    </row>
    <row r="125" spans="1:44" x14ac:dyDescent="0.25">
      <c r="F125" s="12" t="s">
        <v>524</v>
      </c>
      <c r="M125" s="22">
        <f t="shared" si="55"/>
        <v>22441956.657703146</v>
      </c>
      <c r="N125" s="22">
        <f t="shared" si="53"/>
        <v>22820390.237872377</v>
      </c>
      <c r="O125" s="22">
        <f t="shared" si="53"/>
        <v>23198879.439630799</v>
      </c>
      <c r="P125" s="22">
        <f t="shared" si="53"/>
        <v>23577421.78880119</v>
      </c>
      <c r="Q125" s="22">
        <f t="shared" si="53"/>
        <v>23956014.955805153</v>
      </c>
      <c r="R125" s="22">
        <f t="shared" si="53"/>
        <v>24334656.745251708</v>
      </c>
      <c r="S125" s="22">
        <f t="shared" si="53"/>
        <v>24713345.086412694</v>
      </c>
      <c r="T125" s="22">
        <f t="shared" si="53"/>
        <v>25092078.024498068</v>
      </c>
      <c r="U125" s="22">
        <f t="shared" si="53"/>
        <v>25470853.712653846</v>
      </c>
      <c r="V125" s="22">
        <f t="shared" si="53"/>
        <v>25849670.404613722</v>
      </c>
      <c r="W125" s="22">
        <f t="shared" si="53"/>
        <v>26228526.447943076</v>
      </c>
      <c r="X125" s="22">
        <f t="shared" si="53"/>
        <v>26622422.426884063</v>
      </c>
      <c r="Y125" s="22">
        <f t="shared" si="53"/>
        <v>27016416.017206319</v>
      </c>
      <c r="Z125" s="22">
        <f t="shared" si="53"/>
        <v>27410503.458288286</v>
      </c>
      <c r="AA125" s="22">
        <f t="shared" si="53"/>
        <v>27804681.18023698</v>
      </c>
      <c r="AB125" s="22">
        <f t="shared" si="53"/>
        <v>28198945.79194783</v>
      </c>
      <c r="AC125" s="22">
        <f t="shared" si="53"/>
        <v>28593294.070050452</v>
      </c>
      <c r="AD125" s="22">
        <f t="shared" si="53"/>
        <v>28987722.948664479</v>
      </c>
      <c r="AE125" s="22">
        <f t="shared" si="53"/>
        <v>29382229.50989721</v>
      </c>
      <c r="AF125" s="22">
        <f t="shared" si="53"/>
        <v>29776810.975021008</v>
      </c>
      <c r="AG125" s="22">
        <f t="shared" si="53"/>
        <v>30171464.6962744</v>
      </c>
      <c r="AH125" s="22">
        <f t="shared" si="53"/>
        <v>30599883.296747446</v>
      </c>
      <c r="AI125" s="22">
        <f t="shared" si="53"/>
        <v>31028317.34132104</v>
      </c>
      <c r="AJ125" s="22">
        <f t="shared" si="53"/>
        <v>31456766.225621387</v>
      </c>
      <c r="AK125" s="22">
        <f t="shared" si="53"/>
        <v>31885229.376403242</v>
      </c>
      <c r="AL125" s="22">
        <f t="shared" si="53"/>
        <v>32313706.249571256</v>
      </c>
      <c r="AM125" s="22">
        <f t="shared" si="53"/>
        <v>32742196.328350428</v>
      </c>
      <c r="AN125" s="22">
        <f t="shared" si="53"/>
        <v>33170699.121592514</v>
      </c>
      <c r="AO125" s="22">
        <f t="shared" si="53"/>
        <v>33599214.162207015</v>
      </c>
      <c r="AP125" s="22">
        <f t="shared" si="53"/>
        <v>34027741.005705923</v>
      </c>
      <c r="AQ125" s="22">
        <f t="shared" si="53"/>
        <v>34456279.228852965</v>
      </c>
      <c r="AR125" s="22">
        <f t="shared" si="53"/>
        <v>34456279.228852965</v>
      </c>
    </row>
    <row r="126" spans="1:44" x14ac:dyDescent="0.25">
      <c r="F126" s="12" t="s">
        <v>467</v>
      </c>
      <c r="M126" s="22">
        <f t="shared" si="55"/>
        <v>6027385.1667229682</v>
      </c>
      <c r="N126" s="22">
        <f t="shared" si="53"/>
        <v>6151102.3063129801</v>
      </c>
      <c r="O126" s="22">
        <f t="shared" si="53"/>
        <v>6274875.0674921805</v>
      </c>
      <c r="P126" s="22">
        <f t="shared" si="53"/>
        <v>6398700.9760833494</v>
      </c>
      <c r="Q126" s="22">
        <f t="shared" si="53"/>
        <v>6522577.7025080919</v>
      </c>
      <c r="R126" s="22">
        <f t="shared" si="53"/>
        <v>6646503.0513754264</v>
      </c>
      <c r="S126" s="22">
        <f t="shared" si="53"/>
        <v>6770474.9519571941</v>
      </c>
      <c r="T126" s="22">
        <f t="shared" si="53"/>
        <v>6894491.4494633488</v>
      </c>
      <c r="U126" s="22">
        <f t="shared" si="53"/>
        <v>7018550.6970399003</v>
      </c>
      <c r="V126" s="22">
        <f t="shared" si="53"/>
        <v>7142650.9484205619</v>
      </c>
      <c r="W126" s="22">
        <f t="shared" si="53"/>
        <v>7266790.551170703</v>
      </c>
      <c r="X126" s="22">
        <f t="shared" si="53"/>
        <v>7407419.4881839035</v>
      </c>
      <c r="Y126" s="22">
        <f t="shared" si="53"/>
        <v>7548146.0365783703</v>
      </c>
      <c r="Z126" s="22">
        <f t="shared" si="53"/>
        <v>7688966.4357325491</v>
      </c>
      <c r="AA126" s="22">
        <f t="shared" si="53"/>
        <v>7829877.1157534514</v>
      </c>
      <c r="AB126" s="22">
        <f t="shared" si="53"/>
        <v>7970874.6855365168</v>
      </c>
      <c r="AC126" s="22">
        <f t="shared" si="53"/>
        <v>8111955.9217113461</v>
      </c>
      <c r="AD126" s="22">
        <f t="shared" si="53"/>
        <v>8253117.7583975894</v>
      </c>
      <c r="AE126" s="22">
        <f t="shared" si="53"/>
        <v>8394357.2777025364</v>
      </c>
      <c r="AF126" s="22">
        <f t="shared" si="53"/>
        <v>8535671.7008985411</v>
      </c>
      <c r="AG126" s="22">
        <f t="shared" si="53"/>
        <v>8677058.3802241553</v>
      </c>
      <c r="AH126" s="22">
        <f t="shared" si="53"/>
        <v>8813677.8952269498</v>
      </c>
      <c r="AI126" s="22">
        <f t="shared" si="53"/>
        <v>8950312.8543302957</v>
      </c>
      <c r="AJ126" s="22">
        <f t="shared" si="53"/>
        <v>9086962.6531603914</v>
      </c>
      <c r="AK126" s="22">
        <f t="shared" si="53"/>
        <v>9223626.7184719965</v>
      </c>
      <c r="AL126" s="22">
        <f t="shared" si="53"/>
        <v>9360304.5061697699</v>
      </c>
      <c r="AM126" s="22">
        <f t="shared" si="53"/>
        <v>9496995.4994786922</v>
      </c>
      <c r="AN126" s="22">
        <f t="shared" si="53"/>
        <v>9633699.2072505299</v>
      </c>
      <c r="AO126" s="22">
        <f t="shared" si="53"/>
        <v>9770415.1623947844</v>
      </c>
      <c r="AP126" s="22">
        <f t="shared" si="53"/>
        <v>9907142.9204234462</v>
      </c>
      <c r="AQ126" s="22">
        <f t="shared" si="53"/>
        <v>10043882.058100235</v>
      </c>
      <c r="AR126" s="22">
        <f t="shared" si="53"/>
        <v>10043882.058100235</v>
      </c>
    </row>
    <row r="128" spans="1:44" s="13" customFormat="1" x14ac:dyDescent="0.25">
      <c r="A128" s="12"/>
      <c r="B128" s="12"/>
      <c r="C128" s="12"/>
      <c r="D128" s="13" t="s">
        <v>891</v>
      </c>
    </row>
    <row r="130" spans="5:44" ht="11" thickBot="1" x14ac:dyDescent="0.3">
      <c r="E130" s="1" t="s">
        <v>468</v>
      </c>
      <c r="F130" s="1"/>
    </row>
    <row r="131" spans="5:44" x14ac:dyDescent="0.25">
      <c r="M131" s="93">
        <v>2021</v>
      </c>
      <c r="N131" s="93">
        <v>2022</v>
      </c>
      <c r="O131" s="93">
        <v>2023</v>
      </c>
      <c r="P131" s="93">
        <v>2024</v>
      </c>
      <c r="Q131" s="93">
        <v>2025</v>
      </c>
      <c r="R131" s="93">
        <v>2026</v>
      </c>
      <c r="S131" s="93">
        <v>2027</v>
      </c>
      <c r="T131" s="93">
        <v>2028</v>
      </c>
      <c r="U131" s="93">
        <v>2029</v>
      </c>
      <c r="V131" s="93">
        <v>2030</v>
      </c>
      <c r="W131" s="93">
        <v>2031</v>
      </c>
      <c r="X131" s="93">
        <v>2032</v>
      </c>
      <c r="Y131" s="93">
        <v>2033</v>
      </c>
      <c r="Z131" s="93">
        <v>2034</v>
      </c>
      <c r="AA131" s="93">
        <v>2035</v>
      </c>
      <c r="AB131" s="93">
        <v>2036</v>
      </c>
      <c r="AC131" s="93">
        <v>2037</v>
      </c>
      <c r="AD131" s="93">
        <v>2038</v>
      </c>
      <c r="AE131" s="93">
        <v>2039</v>
      </c>
      <c r="AF131" s="93">
        <v>2040</v>
      </c>
      <c r="AG131" s="93">
        <v>2041</v>
      </c>
      <c r="AH131" s="93">
        <v>2042</v>
      </c>
      <c r="AI131" s="93">
        <v>2043</v>
      </c>
      <c r="AJ131" s="93">
        <v>2044</v>
      </c>
      <c r="AK131" s="93">
        <v>2045</v>
      </c>
      <c r="AL131" s="93">
        <v>2046</v>
      </c>
      <c r="AM131" s="93">
        <v>2047</v>
      </c>
      <c r="AN131" s="93">
        <v>2048</v>
      </c>
      <c r="AO131" s="93">
        <v>2049</v>
      </c>
      <c r="AP131" s="93">
        <v>2050</v>
      </c>
      <c r="AQ131" s="93">
        <v>2051</v>
      </c>
      <c r="AR131" s="93">
        <v>2052</v>
      </c>
    </row>
    <row r="132" spans="5:44" x14ac:dyDescent="0.25">
      <c r="F132" s="12" t="s">
        <v>66</v>
      </c>
      <c r="M132" s="22">
        <f>M60+M96</f>
        <v>827642.75209199183</v>
      </c>
      <c r="N132" s="22">
        <f t="shared" ref="N132:AR136" si="56">N60+N96</f>
        <v>840485.86627257848</v>
      </c>
      <c r="O132" s="22">
        <f t="shared" si="56"/>
        <v>853328.98045316525</v>
      </c>
      <c r="P132" s="22">
        <f t="shared" si="56"/>
        <v>866172.0946337519</v>
      </c>
      <c r="Q132" s="22">
        <f t="shared" si="56"/>
        <v>879015.20881433878</v>
      </c>
      <c r="R132" s="22">
        <f t="shared" si="56"/>
        <v>891858.32299492531</v>
      </c>
      <c r="S132" s="22">
        <f t="shared" si="56"/>
        <v>904701.43717551208</v>
      </c>
      <c r="T132" s="22">
        <f t="shared" si="56"/>
        <v>917544.55135609885</v>
      </c>
      <c r="U132" s="22">
        <f t="shared" si="56"/>
        <v>930387.66553668561</v>
      </c>
      <c r="V132" s="22">
        <f t="shared" si="56"/>
        <v>943230.77971727238</v>
      </c>
      <c r="W132" s="22">
        <f t="shared" si="56"/>
        <v>956073.89389785845</v>
      </c>
      <c r="X132" s="22">
        <f t="shared" si="56"/>
        <v>968843.92762737104</v>
      </c>
      <c r="Y132" s="22">
        <f t="shared" si="56"/>
        <v>981613.96135688364</v>
      </c>
      <c r="Z132" s="22">
        <f t="shared" si="56"/>
        <v>994383.99508639635</v>
      </c>
      <c r="AA132" s="22">
        <f t="shared" si="56"/>
        <v>1007154.0288159091</v>
      </c>
      <c r="AB132" s="22">
        <f t="shared" si="56"/>
        <v>1019924.0625454215</v>
      </c>
      <c r="AC132" s="22">
        <f t="shared" si="56"/>
        <v>1032694.0962749342</v>
      </c>
      <c r="AD132" s="22">
        <f t="shared" si="56"/>
        <v>1045464.1300044465</v>
      </c>
      <c r="AE132" s="22">
        <f t="shared" si="56"/>
        <v>1058234.1637339592</v>
      </c>
      <c r="AF132" s="22">
        <f t="shared" si="56"/>
        <v>1071004.1974634719</v>
      </c>
      <c r="AG132" s="22">
        <f t="shared" si="56"/>
        <v>1083774.2311929839</v>
      </c>
      <c r="AH132" s="22">
        <f t="shared" si="56"/>
        <v>1098487.0976415069</v>
      </c>
      <c r="AI132" s="22">
        <f t="shared" si="56"/>
        <v>1113199.9640900297</v>
      </c>
      <c r="AJ132" s="22">
        <f t="shared" si="56"/>
        <v>1127912.8305385527</v>
      </c>
      <c r="AK132" s="22">
        <f t="shared" si="56"/>
        <v>1142625.6969870757</v>
      </c>
      <c r="AL132" s="22">
        <f t="shared" si="56"/>
        <v>1157338.5634355983</v>
      </c>
      <c r="AM132" s="22">
        <f t="shared" si="56"/>
        <v>1172051.4298841213</v>
      </c>
      <c r="AN132" s="22">
        <f t="shared" si="56"/>
        <v>1186764.2963326441</v>
      </c>
      <c r="AO132" s="22">
        <f t="shared" si="56"/>
        <v>1201477.1627811668</v>
      </c>
      <c r="AP132" s="22">
        <f t="shared" si="56"/>
        <v>1216190.0292296899</v>
      </c>
      <c r="AQ132" s="22">
        <f t="shared" si="56"/>
        <v>1230902.8956782129</v>
      </c>
      <c r="AR132" s="22">
        <f t="shared" si="56"/>
        <v>1230902.8956782129</v>
      </c>
    </row>
    <row r="133" spans="5:44" x14ac:dyDescent="0.25">
      <c r="F133" s="12" t="s">
        <v>522</v>
      </c>
      <c r="M133" s="22">
        <f t="shared" ref="M133:AB136" si="57">M61+M97</f>
        <v>928201.3464711688</v>
      </c>
      <c r="N133" s="22">
        <f t="shared" si="57"/>
        <v>942604.89902469679</v>
      </c>
      <c r="O133" s="22">
        <f t="shared" si="57"/>
        <v>957008.45157822478</v>
      </c>
      <c r="P133" s="22">
        <f t="shared" si="57"/>
        <v>971412.00413175276</v>
      </c>
      <c r="Q133" s="22">
        <f t="shared" si="57"/>
        <v>985815.55668528075</v>
      </c>
      <c r="R133" s="22">
        <f t="shared" si="57"/>
        <v>1000219.1092388087</v>
      </c>
      <c r="S133" s="22">
        <f t="shared" si="57"/>
        <v>1014622.6617923367</v>
      </c>
      <c r="T133" s="22">
        <f t="shared" si="57"/>
        <v>1029026.2143458647</v>
      </c>
      <c r="U133" s="22">
        <f t="shared" si="57"/>
        <v>1043429.7668993927</v>
      </c>
      <c r="V133" s="22">
        <f t="shared" si="57"/>
        <v>1057833.3194529209</v>
      </c>
      <c r="W133" s="22">
        <f t="shared" si="57"/>
        <v>1072236.8720064482</v>
      </c>
      <c r="X133" s="22">
        <f t="shared" si="57"/>
        <v>1086558.4648340966</v>
      </c>
      <c r="Y133" s="22">
        <f t="shared" si="57"/>
        <v>1100880.057661745</v>
      </c>
      <c r="Z133" s="22">
        <f t="shared" si="57"/>
        <v>1115201.6504893936</v>
      </c>
      <c r="AA133" s="22">
        <f t="shared" si="57"/>
        <v>1129523.243317042</v>
      </c>
      <c r="AB133" s="22">
        <f t="shared" si="57"/>
        <v>1143844.8361446902</v>
      </c>
      <c r="AC133" s="22">
        <f t="shared" si="56"/>
        <v>1158166.4289723388</v>
      </c>
      <c r="AD133" s="22">
        <f t="shared" si="56"/>
        <v>1172488.0217999867</v>
      </c>
      <c r="AE133" s="22">
        <f t="shared" si="56"/>
        <v>1186809.6146276351</v>
      </c>
      <c r="AF133" s="22">
        <f t="shared" si="56"/>
        <v>1201131.2074552837</v>
      </c>
      <c r="AG133" s="22">
        <f t="shared" si="56"/>
        <v>1215452.8002829314</v>
      </c>
      <c r="AH133" s="22">
        <f t="shared" si="56"/>
        <v>1231953.2800049498</v>
      </c>
      <c r="AI133" s="22">
        <f t="shared" si="56"/>
        <v>1248453.7597269684</v>
      </c>
      <c r="AJ133" s="22">
        <f t="shared" si="56"/>
        <v>1264954.2394489867</v>
      </c>
      <c r="AK133" s="22">
        <f t="shared" si="56"/>
        <v>1281454.7191710053</v>
      </c>
      <c r="AL133" s="22">
        <f t="shared" si="56"/>
        <v>1297955.1988930234</v>
      </c>
      <c r="AM133" s="22">
        <f t="shared" si="56"/>
        <v>1314455.678615042</v>
      </c>
      <c r="AN133" s="22">
        <f t="shared" si="56"/>
        <v>1330956.1583370604</v>
      </c>
      <c r="AO133" s="22">
        <f t="shared" si="56"/>
        <v>1347456.6380590787</v>
      </c>
      <c r="AP133" s="22">
        <f t="shared" si="56"/>
        <v>1363957.1177810971</v>
      </c>
      <c r="AQ133" s="22">
        <f t="shared" si="56"/>
        <v>1380457.5975031159</v>
      </c>
      <c r="AR133" s="22">
        <f t="shared" si="56"/>
        <v>1380457.5975031159</v>
      </c>
    </row>
    <row r="134" spans="5:44" x14ac:dyDescent="0.25">
      <c r="F134" s="12" t="s">
        <v>523</v>
      </c>
      <c r="M134" s="22">
        <f t="shared" si="57"/>
        <v>203349.53079157416</v>
      </c>
      <c r="N134" s="22">
        <f t="shared" si="56"/>
        <v>208027.06177089358</v>
      </c>
      <c r="O134" s="22">
        <f t="shared" si="56"/>
        <v>212707.39725870572</v>
      </c>
      <c r="P134" s="22">
        <f t="shared" si="56"/>
        <v>217390.41250397195</v>
      </c>
      <c r="Q134" s="22">
        <f t="shared" si="56"/>
        <v>222075.99004650296</v>
      </c>
      <c r="R134" s="22">
        <f t="shared" si="56"/>
        <v>226764.019192003</v>
      </c>
      <c r="S134" s="22">
        <f t="shared" si="56"/>
        <v>231454.3955318277</v>
      </c>
      <c r="T134" s="22">
        <f t="shared" si="56"/>
        <v>236147.02050307448</v>
      </c>
      <c r="U134" s="22">
        <f t="shared" si="56"/>
        <v>240841.80098510848</v>
      </c>
      <c r="V134" s="22">
        <f t="shared" si="56"/>
        <v>245538.64892904964</v>
      </c>
      <c r="W134" s="22">
        <f t="shared" si="56"/>
        <v>250237.48101712484</v>
      </c>
      <c r="X134" s="22">
        <f t="shared" si="56"/>
        <v>255776.60476242073</v>
      </c>
      <c r="Y134" s="22">
        <f t="shared" si="56"/>
        <v>261320.6501928349</v>
      </c>
      <c r="Z134" s="22">
        <f t="shared" si="56"/>
        <v>266869.42769323289</v>
      </c>
      <c r="AA134" s="22">
        <f t="shared" si="56"/>
        <v>272422.75726524834</v>
      </c>
      <c r="AB134" s="22">
        <f t="shared" si="56"/>
        <v>277980.46792524564</v>
      </c>
      <c r="AC134" s="22">
        <f t="shared" si="56"/>
        <v>283542.39714695048</v>
      </c>
      <c r="AD134" s="22">
        <f t="shared" si="56"/>
        <v>289108.3903449293</v>
      </c>
      <c r="AE134" s="22">
        <f t="shared" si="56"/>
        <v>294678.30039546627</v>
      </c>
      <c r="AF134" s="22">
        <f t="shared" si="56"/>
        <v>300251.98719171761</v>
      </c>
      <c r="AG134" s="22">
        <f t="shared" si="56"/>
        <v>305829.31723031629</v>
      </c>
      <c r="AH134" s="22">
        <f t="shared" si="56"/>
        <v>310930.22684324021</v>
      </c>
      <c r="AI134" s="22">
        <f t="shared" si="56"/>
        <v>316031.91516658565</v>
      </c>
      <c r="AJ134" s="22">
        <f t="shared" si="56"/>
        <v>321134.35172708728</v>
      </c>
      <c r="AK134" s="22">
        <f t="shared" si="56"/>
        <v>326237.50762101891</v>
      </c>
      <c r="AL134" s="22">
        <f t="shared" si="56"/>
        <v>331341.35541442904</v>
      </c>
      <c r="AM134" s="22">
        <f t="shared" si="56"/>
        <v>336445.86905088963</v>
      </c>
      <c r="AN134" s="22">
        <f t="shared" si="56"/>
        <v>341551.02376610693</v>
      </c>
      <c r="AO134" s="22">
        <f t="shared" si="56"/>
        <v>346656.7960088065</v>
      </c>
      <c r="AP134" s="22">
        <f t="shared" si="56"/>
        <v>351763.1633673606</v>
      </c>
      <c r="AQ134" s="22">
        <f t="shared" si="56"/>
        <v>356870.10450167814</v>
      </c>
      <c r="AR134" s="22">
        <f t="shared" si="56"/>
        <v>356870.10450167814</v>
      </c>
    </row>
    <row r="135" spans="5:44" x14ac:dyDescent="0.25">
      <c r="F135" s="12" t="s">
        <v>524</v>
      </c>
      <c r="M135" s="22">
        <f t="shared" si="57"/>
        <v>1131550.877262743</v>
      </c>
      <c r="N135" s="22">
        <f t="shared" si="56"/>
        <v>1150631.9607955904</v>
      </c>
      <c r="O135" s="22">
        <f t="shared" si="56"/>
        <v>1169715.8488369305</v>
      </c>
      <c r="P135" s="22">
        <f t="shared" si="56"/>
        <v>1188802.4166357247</v>
      </c>
      <c r="Q135" s="22">
        <f t="shared" si="56"/>
        <v>1207891.5467317838</v>
      </c>
      <c r="R135" s="22">
        <f t="shared" si="56"/>
        <v>1226983.1284308117</v>
      </c>
      <c r="S135" s="22">
        <f t="shared" si="56"/>
        <v>1246077.0573241645</v>
      </c>
      <c r="T135" s="22">
        <f t="shared" si="56"/>
        <v>1265173.2348489393</v>
      </c>
      <c r="U135" s="22">
        <f t="shared" si="56"/>
        <v>1284271.5678845011</v>
      </c>
      <c r="V135" s="22">
        <f t="shared" si="56"/>
        <v>1303371.9683819707</v>
      </c>
      <c r="W135" s="22">
        <f t="shared" si="56"/>
        <v>1322474.3530235731</v>
      </c>
      <c r="X135" s="22">
        <f t="shared" si="56"/>
        <v>1342335.0695965174</v>
      </c>
      <c r="Y135" s="22">
        <f t="shared" si="56"/>
        <v>1362200.7078545799</v>
      </c>
      <c r="Z135" s="22">
        <f t="shared" si="56"/>
        <v>1382071.0781826265</v>
      </c>
      <c r="AA135" s="22">
        <f t="shared" si="56"/>
        <v>1401946.0005822901</v>
      </c>
      <c r="AB135" s="22">
        <f t="shared" si="56"/>
        <v>1421825.3040699358</v>
      </c>
      <c r="AC135" s="22">
        <f t="shared" si="56"/>
        <v>1441708.826119289</v>
      </c>
      <c r="AD135" s="22">
        <f t="shared" si="56"/>
        <v>1461596.4121449159</v>
      </c>
      <c r="AE135" s="22">
        <f t="shared" si="56"/>
        <v>1481487.9150231015</v>
      </c>
      <c r="AF135" s="22">
        <f t="shared" si="56"/>
        <v>1501383.1946470013</v>
      </c>
      <c r="AG135" s="22">
        <f t="shared" si="56"/>
        <v>1521282.1175132478</v>
      </c>
      <c r="AH135" s="22">
        <f t="shared" si="56"/>
        <v>1542883.50684819</v>
      </c>
      <c r="AI135" s="22">
        <f t="shared" si="56"/>
        <v>1564485.6748935541</v>
      </c>
      <c r="AJ135" s="22">
        <f t="shared" si="56"/>
        <v>1586088.591176074</v>
      </c>
      <c r="AK135" s="22">
        <f t="shared" si="56"/>
        <v>1607692.2267920242</v>
      </c>
      <c r="AL135" s="22">
        <f t="shared" si="56"/>
        <v>1629296.5543074524</v>
      </c>
      <c r="AM135" s="22">
        <f t="shared" si="56"/>
        <v>1650901.5476659318</v>
      </c>
      <c r="AN135" s="22">
        <f t="shared" si="56"/>
        <v>1672507.1821031673</v>
      </c>
      <c r="AO135" s="22">
        <f t="shared" si="56"/>
        <v>1694113.4340678852</v>
      </c>
      <c r="AP135" s="22">
        <f t="shared" si="56"/>
        <v>1715720.2811484574</v>
      </c>
      <c r="AQ135" s="22">
        <f t="shared" si="56"/>
        <v>1737327.702004794</v>
      </c>
      <c r="AR135" s="22">
        <f t="shared" si="56"/>
        <v>1737327.702004794</v>
      </c>
    </row>
    <row r="136" spans="5:44" x14ac:dyDescent="0.25">
      <c r="F136" s="12" t="s">
        <v>467</v>
      </c>
      <c r="M136" s="22">
        <f t="shared" si="57"/>
        <v>303908.12517075113</v>
      </c>
      <c r="N136" s="22">
        <f t="shared" si="56"/>
        <v>310146.09452301194</v>
      </c>
      <c r="O136" s="22">
        <f t="shared" si="56"/>
        <v>316386.86838376528</v>
      </c>
      <c r="P136" s="22">
        <f t="shared" si="56"/>
        <v>322630.3220019727</v>
      </c>
      <c r="Q136" s="22">
        <f t="shared" si="56"/>
        <v>328876.33791744505</v>
      </c>
      <c r="R136" s="22">
        <f t="shared" si="56"/>
        <v>335124.80543588632</v>
      </c>
      <c r="S136" s="22">
        <f t="shared" si="56"/>
        <v>341375.62014865235</v>
      </c>
      <c r="T136" s="22">
        <f t="shared" si="56"/>
        <v>347628.6834928405</v>
      </c>
      <c r="U136" s="22">
        <f t="shared" si="56"/>
        <v>353883.90234781563</v>
      </c>
      <c r="V136" s="22">
        <f t="shared" si="56"/>
        <v>360141.18866469822</v>
      </c>
      <c r="W136" s="22">
        <f t="shared" si="56"/>
        <v>366400.45912571461</v>
      </c>
      <c r="X136" s="22">
        <f t="shared" si="56"/>
        <v>373491.14196914627</v>
      </c>
      <c r="Y136" s="22">
        <f t="shared" si="56"/>
        <v>380586.74649769615</v>
      </c>
      <c r="Z136" s="22">
        <f t="shared" si="56"/>
        <v>387687.08309623011</v>
      </c>
      <c r="AA136" s="22">
        <f t="shared" si="56"/>
        <v>394791.97176638118</v>
      </c>
      <c r="AB136" s="22">
        <f t="shared" si="56"/>
        <v>401901.24152451433</v>
      </c>
      <c r="AC136" s="22">
        <f t="shared" si="56"/>
        <v>409014.72984435485</v>
      </c>
      <c r="AD136" s="22">
        <f t="shared" si="56"/>
        <v>416132.28214046941</v>
      </c>
      <c r="AE136" s="22">
        <f t="shared" si="56"/>
        <v>423253.7512891423</v>
      </c>
      <c r="AF136" s="22">
        <f t="shared" si="56"/>
        <v>430378.99718352943</v>
      </c>
      <c r="AG136" s="22">
        <f t="shared" si="56"/>
        <v>437507.88632026367</v>
      </c>
      <c r="AH136" s="22">
        <f t="shared" si="56"/>
        <v>444396.40920668322</v>
      </c>
      <c r="AI136" s="22">
        <f t="shared" si="56"/>
        <v>451285.7108035243</v>
      </c>
      <c r="AJ136" s="22">
        <f t="shared" si="56"/>
        <v>458175.76063752128</v>
      </c>
      <c r="AK136" s="22">
        <f t="shared" si="56"/>
        <v>465066.52980494848</v>
      </c>
      <c r="AL136" s="22">
        <f t="shared" si="56"/>
        <v>471957.99087185407</v>
      </c>
      <c r="AM136" s="22">
        <f t="shared" si="56"/>
        <v>478850.11778181029</v>
      </c>
      <c r="AN136" s="22">
        <f t="shared" si="56"/>
        <v>485742.88577052305</v>
      </c>
      <c r="AO136" s="22">
        <f t="shared" si="56"/>
        <v>492636.27128671814</v>
      </c>
      <c r="AP136" s="22">
        <f t="shared" si="56"/>
        <v>499530.25191876781</v>
      </c>
      <c r="AQ136" s="22">
        <f t="shared" si="56"/>
        <v>506424.80632658093</v>
      </c>
      <c r="AR136" s="22">
        <f t="shared" si="56"/>
        <v>506424.80632658093</v>
      </c>
    </row>
    <row r="138" spans="5:44" ht="11" thickBot="1" x14ac:dyDescent="0.3">
      <c r="E138" s="1" t="s">
        <v>469</v>
      </c>
      <c r="F138" s="1"/>
    </row>
    <row r="140" spans="5:44" x14ac:dyDescent="0.25">
      <c r="F140" s="12" t="s">
        <v>66</v>
      </c>
      <c r="M140" s="22">
        <f>M68+M104</f>
        <v>820728.57454900898</v>
      </c>
      <c r="N140" s="22">
        <f t="shared" ref="N140:AR144" si="58">N68+N104</f>
        <v>833464.39657796989</v>
      </c>
      <c r="O140" s="22">
        <f t="shared" si="58"/>
        <v>846200.21860693092</v>
      </c>
      <c r="P140" s="22">
        <f t="shared" si="58"/>
        <v>858936.04063589196</v>
      </c>
      <c r="Q140" s="22">
        <f t="shared" si="58"/>
        <v>871671.86266485299</v>
      </c>
      <c r="R140" s="22">
        <f t="shared" si="58"/>
        <v>884407.68469381402</v>
      </c>
      <c r="S140" s="22">
        <f t="shared" si="58"/>
        <v>897143.50672277506</v>
      </c>
      <c r="T140" s="22">
        <f t="shared" si="58"/>
        <v>909879.32875173585</v>
      </c>
      <c r="U140" s="22">
        <f t="shared" si="58"/>
        <v>922615.15078069724</v>
      </c>
      <c r="V140" s="22">
        <f t="shared" si="58"/>
        <v>935350.97280965792</v>
      </c>
      <c r="W140" s="22">
        <f t="shared" si="58"/>
        <v>948086.79483861849</v>
      </c>
      <c r="X140" s="22">
        <f t="shared" si="58"/>
        <v>960750.14693500812</v>
      </c>
      <c r="Y140" s="22">
        <f t="shared" si="58"/>
        <v>973413.4990313974</v>
      </c>
      <c r="Z140" s="22">
        <f t="shared" si="58"/>
        <v>986076.85112778679</v>
      </c>
      <c r="AA140" s="22">
        <f t="shared" si="58"/>
        <v>998740.20322417642</v>
      </c>
      <c r="AB140" s="22">
        <f t="shared" si="58"/>
        <v>1011403.5553205657</v>
      </c>
      <c r="AC140" s="22">
        <f t="shared" si="58"/>
        <v>1024066.9074169552</v>
      </c>
      <c r="AD140" s="22">
        <f t="shared" si="58"/>
        <v>1036730.2595133444</v>
      </c>
      <c r="AE140" s="22">
        <f t="shared" si="58"/>
        <v>1049393.6116097339</v>
      </c>
      <c r="AF140" s="22">
        <f t="shared" si="58"/>
        <v>1062056.9637061232</v>
      </c>
      <c r="AG140" s="22">
        <f t="shared" si="58"/>
        <v>1074720.3158025122</v>
      </c>
      <c r="AH140" s="22">
        <f t="shared" si="58"/>
        <v>1089310.2700760248</v>
      </c>
      <c r="AI140" s="22">
        <f t="shared" si="58"/>
        <v>1103900.2243495372</v>
      </c>
      <c r="AJ140" s="22">
        <f t="shared" si="58"/>
        <v>1118490.1786230498</v>
      </c>
      <c r="AK140" s="22">
        <f t="shared" si="58"/>
        <v>1133080.1328965621</v>
      </c>
      <c r="AL140" s="22">
        <f t="shared" si="58"/>
        <v>1147670.0871700742</v>
      </c>
      <c r="AM140" s="22">
        <f t="shared" si="58"/>
        <v>1162260.0414435868</v>
      </c>
      <c r="AN140" s="22">
        <f t="shared" si="58"/>
        <v>1176849.9957170992</v>
      </c>
      <c r="AO140" s="22">
        <f t="shared" si="58"/>
        <v>1191439.9499906115</v>
      </c>
      <c r="AP140" s="22">
        <f t="shared" si="58"/>
        <v>1206029.9042641239</v>
      </c>
      <c r="AQ140" s="22">
        <f t="shared" si="58"/>
        <v>1220619.8585376365</v>
      </c>
      <c r="AR140" s="22">
        <f t="shared" si="58"/>
        <v>1220619.8585376365</v>
      </c>
    </row>
    <row r="141" spans="5:44" x14ac:dyDescent="0.25">
      <c r="F141" s="12" t="s">
        <v>522</v>
      </c>
      <c r="M141" s="22">
        <f t="shared" ref="M141:AB143" si="59">M69+M105</f>
        <v>920447.09635671356</v>
      </c>
      <c r="N141" s="22">
        <f t="shared" si="59"/>
        <v>934730.32076219318</v>
      </c>
      <c r="O141" s="22">
        <f t="shared" si="59"/>
        <v>949013.54516767315</v>
      </c>
      <c r="P141" s="22">
        <f t="shared" si="59"/>
        <v>963296.76957315276</v>
      </c>
      <c r="Q141" s="22">
        <f t="shared" si="59"/>
        <v>977579.99397863273</v>
      </c>
      <c r="R141" s="22">
        <f t="shared" si="59"/>
        <v>991863.21838411235</v>
      </c>
      <c r="S141" s="22">
        <f t="shared" si="59"/>
        <v>1006146.4427895922</v>
      </c>
      <c r="T141" s="22">
        <f t="shared" si="59"/>
        <v>1020429.6671950717</v>
      </c>
      <c r="U141" s="22">
        <f t="shared" si="59"/>
        <v>1034712.891600552</v>
      </c>
      <c r="V141" s="22">
        <f t="shared" si="59"/>
        <v>1048996.1160060314</v>
      </c>
      <c r="W141" s="22">
        <f t="shared" si="59"/>
        <v>1063279.3404115106</v>
      </c>
      <c r="X141" s="22">
        <f t="shared" si="59"/>
        <v>1077481.2897876115</v>
      </c>
      <c r="Y141" s="22">
        <f t="shared" si="59"/>
        <v>1091683.2391637121</v>
      </c>
      <c r="Z141" s="22">
        <f t="shared" si="59"/>
        <v>1105885.1885398128</v>
      </c>
      <c r="AA141" s="22">
        <f t="shared" si="59"/>
        <v>1120087.1379159139</v>
      </c>
      <c r="AB141" s="22">
        <f t="shared" si="59"/>
        <v>1134289.0872920144</v>
      </c>
      <c r="AC141" s="22">
        <f t="shared" si="58"/>
        <v>1148491.0366681153</v>
      </c>
      <c r="AD141" s="22">
        <f t="shared" si="58"/>
        <v>1162692.9860442155</v>
      </c>
      <c r="AE141" s="22">
        <f t="shared" si="58"/>
        <v>1176894.9354203164</v>
      </c>
      <c r="AF141" s="22">
        <f t="shared" si="58"/>
        <v>1191096.8847964171</v>
      </c>
      <c r="AG141" s="22">
        <f t="shared" si="58"/>
        <v>1205298.8341725173</v>
      </c>
      <c r="AH141" s="22">
        <f t="shared" si="58"/>
        <v>1221661.4678902617</v>
      </c>
      <c r="AI141" s="22">
        <f t="shared" si="58"/>
        <v>1238024.1016080061</v>
      </c>
      <c r="AJ141" s="22">
        <f t="shared" si="58"/>
        <v>1254386.7353257502</v>
      </c>
      <c r="AK141" s="22">
        <f t="shared" si="58"/>
        <v>1270749.3690434943</v>
      </c>
      <c r="AL141" s="22">
        <f t="shared" si="58"/>
        <v>1287112.0027612383</v>
      </c>
      <c r="AM141" s="22">
        <f t="shared" si="58"/>
        <v>1303474.6364789824</v>
      </c>
      <c r="AN141" s="22">
        <f t="shared" si="58"/>
        <v>1319837.2701967265</v>
      </c>
      <c r="AO141" s="22">
        <f t="shared" si="58"/>
        <v>1336199.9039144707</v>
      </c>
      <c r="AP141" s="22">
        <f t="shared" si="58"/>
        <v>1352562.5376322148</v>
      </c>
      <c r="AQ141" s="22">
        <f t="shared" si="58"/>
        <v>1368925.1713499592</v>
      </c>
      <c r="AR141" s="22">
        <f t="shared" si="58"/>
        <v>1368925.1713499592</v>
      </c>
    </row>
    <row r="142" spans="5:44" x14ac:dyDescent="0.25">
      <c r="F142" s="12" t="s">
        <v>523</v>
      </c>
      <c r="M142" s="22">
        <f t="shared" si="59"/>
        <v>201650.73652844387</v>
      </c>
      <c r="N142" s="22">
        <f t="shared" si="58"/>
        <v>206289.19113142573</v>
      </c>
      <c r="O142" s="22">
        <f t="shared" si="58"/>
        <v>210930.42681386694</v>
      </c>
      <c r="P142" s="22">
        <f t="shared" si="58"/>
        <v>215574.31986690668</v>
      </c>
      <c r="Q142" s="22">
        <f t="shared" si="58"/>
        <v>220220.75381162501</v>
      </c>
      <c r="R142" s="22">
        <f t="shared" si="58"/>
        <v>224869.618878473</v>
      </c>
      <c r="S142" s="22">
        <f t="shared" si="58"/>
        <v>229520.81153104256</v>
      </c>
      <c r="T142" s="22">
        <f t="shared" si="58"/>
        <v>234174.23402983154</v>
      </c>
      <c r="U142" s="22">
        <f t="shared" si="58"/>
        <v>238829.79403214031</v>
      </c>
      <c r="V142" s="22">
        <f t="shared" si="58"/>
        <v>243487.40422465463</v>
      </c>
      <c r="W142" s="22">
        <f t="shared" si="58"/>
        <v>248146.9819856431</v>
      </c>
      <c r="X142" s="22">
        <f t="shared" si="58"/>
        <v>253639.8315565917</v>
      </c>
      <c r="Y142" s="22">
        <f t="shared" si="58"/>
        <v>259137.56169660389</v>
      </c>
      <c r="Z142" s="22">
        <f t="shared" si="58"/>
        <v>264639.98437460151</v>
      </c>
      <c r="AA142" s="22">
        <f t="shared" si="58"/>
        <v>270146.92109593516</v>
      </c>
      <c r="AB142" s="22">
        <f t="shared" si="58"/>
        <v>275658.20230537711</v>
      </c>
      <c r="AC142" s="22">
        <f t="shared" si="58"/>
        <v>281173.66683440725</v>
      </c>
      <c r="AD142" s="22">
        <f t="shared" si="58"/>
        <v>286693.16138900816</v>
      </c>
      <c r="AE142" s="22">
        <f t="shared" si="58"/>
        <v>292216.54007454426</v>
      </c>
      <c r="AF142" s="22">
        <f t="shared" si="58"/>
        <v>297743.66395463306</v>
      </c>
      <c r="AG142" s="22">
        <f t="shared" si="58"/>
        <v>303274.40064120252</v>
      </c>
      <c r="AH142" s="22">
        <f t="shared" si="58"/>
        <v>308332.69694711035</v>
      </c>
      <c r="AI142" s="22">
        <f t="shared" si="58"/>
        <v>313391.76545804599</v>
      </c>
      <c r="AJ142" s="22">
        <f t="shared" si="58"/>
        <v>318451.57595531933</v>
      </c>
      <c r="AK142" s="22">
        <f t="shared" si="58"/>
        <v>323512.09977666772</v>
      </c>
      <c r="AL142" s="22">
        <f t="shared" si="58"/>
        <v>328573.30971732456</v>
      </c>
      <c r="AM142" s="22">
        <f t="shared" si="58"/>
        <v>333635.17993853881</v>
      </c>
      <c r="AN142" s="22">
        <f t="shared" si="58"/>
        <v>338697.68588289915</v>
      </c>
      <c r="AO142" s="22">
        <f t="shared" si="58"/>
        <v>343760.8041958799</v>
      </c>
      <c r="AP142" s="22">
        <f t="shared" si="58"/>
        <v>348824.51265308133</v>
      </c>
      <c r="AQ142" s="22">
        <f t="shared" si="58"/>
        <v>353888.79009268881</v>
      </c>
      <c r="AR142" s="22">
        <f t="shared" si="58"/>
        <v>353888.79009268881</v>
      </c>
    </row>
    <row r="143" spans="5:44" x14ac:dyDescent="0.25">
      <c r="F143" s="12" t="s">
        <v>524</v>
      </c>
      <c r="M143" s="22">
        <f t="shared" si="59"/>
        <v>1122097.8328851573</v>
      </c>
      <c r="N143" s="22">
        <f t="shared" si="58"/>
        <v>1141019.5118936189</v>
      </c>
      <c r="O143" s="22">
        <f t="shared" si="58"/>
        <v>1159943.9719815401</v>
      </c>
      <c r="P143" s="22">
        <f t="shared" si="58"/>
        <v>1178871.0894400594</v>
      </c>
      <c r="Q143" s="22">
        <f t="shared" si="58"/>
        <v>1197800.7477902577</v>
      </c>
      <c r="R143" s="22">
        <f t="shared" si="58"/>
        <v>1216732.8372625853</v>
      </c>
      <c r="S143" s="22">
        <f t="shared" si="58"/>
        <v>1235667.2543206348</v>
      </c>
      <c r="T143" s="22">
        <f t="shared" si="58"/>
        <v>1254603.9012249033</v>
      </c>
      <c r="U143" s="22">
        <f t="shared" si="58"/>
        <v>1273542.6856326924</v>
      </c>
      <c r="V143" s="22">
        <f t="shared" si="58"/>
        <v>1292483.5202306858</v>
      </c>
      <c r="W143" s="22">
        <f t="shared" si="58"/>
        <v>1311426.3223971538</v>
      </c>
      <c r="X143" s="22">
        <f t="shared" si="58"/>
        <v>1331121.1213442031</v>
      </c>
      <c r="Y143" s="22">
        <f t="shared" si="58"/>
        <v>1350820.800860316</v>
      </c>
      <c r="Z143" s="22">
        <f t="shared" si="58"/>
        <v>1370525.1729144142</v>
      </c>
      <c r="AA143" s="22">
        <f t="shared" si="58"/>
        <v>1390234.0590118491</v>
      </c>
      <c r="AB143" s="22">
        <f t="shared" si="58"/>
        <v>1409947.2895973914</v>
      </c>
      <c r="AC143" s="22">
        <f t="shared" si="58"/>
        <v>1429664.7035025223</v>
      </c>
      <c r="AD143" s="22">
        <f t="shared" si="58"/>
        <v>1449386.1474332237</v>
      </c>
      <c r="AE143" s="22">
        <f t="shared" si="58"/>
        <v>1469111.4754948607</v>
      </c>
      <c r="AF143" s="22">
        <f t="shared" si="58"/>
        <v>1488840.5487510501</v>
      </c>
      <c r="AG143" s="22">
        <f t="shared" si="58"/>
        <v>1508573.23481372</v>
      </c>
      <c r="AH143" s="22">
        <f t="shared" si="58"/>
        <v>1529994.164837372</v>
      </c>
      <c r="AI143" s="22">
        <f t="shared" si="58"/>
        <v>1551415.8670660518</v>
      </c>
      <c r="AJ143" s="22">
        <f t="shared" si="58"/>
        <v>1572838.3112810696</v>
      </c>
      <c r="AK143" s="22">
        <f t="shared" si="58"/>
        <v>1594261.4688201621</v>
      </c>
      <c r="AL143" s="22">
        <f t="shared" si="58"/>
        <v>1615685.3124785628</v>
      </c>
      <c r="AM143" s="22">
        <f t="shared" si="58"/>
        <v>1637109.8164175213</v>
      </c>
      <c r="AN143" s="22">
        <f t="shared" si="58"/>
        <v>1658534.9560796258</v>
      </c>
      <c r="AO143" s="22">
        <f t="shared" si="58"/>
        <v>1679960.7081103506</v>
      </c>
      <c r="AP143" s="22">
        <f t="shared" si="58"/>
        <v>1701387.050285296</v>
      </c>
      <c r="AQ143" s="22">
        <f t="shared" si="58"/>
        <v>1722813.961442648</v>
      </c>
      <c r="AR143" s="22">
        <f t="shared" si="58"/>
        <v>1722813.961442648</v>
      </c>
    </row>
    <row r="144" spans="5:44" x14ac:dyDescent="0.25">
      <c r="F144" s="12" t="s">
        <v>467</v>
      </c>
      <c r="M144" s="22">
        <f>M72+M108</f>
        <v>301369.25833614846</v>
      </c>
      <c r="N144" s="22">
        <f t="shared" si="58"/>
        <v>307555.11531564896</v>
      </c>
      <c r="O144" s="22">
        <f t="shared" si="58"/>
        <v>313743.75337460911</v>
      </c>
      <c r="P144" s="22">
        <f t="shared" si="58"/>
        <v>319935.04880416748</v>
      </c>
      <c r="Q144" s="22">
        <f t="shared" si="58"/>
        <v>326128.88512540469</v>
      </c>
      <c r="R144" s="22">
        <f t="shared" si="58"/>
        <v>332325.15256877139</v>
      </c>
      <c r="S144" s="22">
        <f t="shared" si="58"/>
        <v>338523.74759785982</v>
      </c>
      <c r="T144" s="22">
        <f t="shared" si="58"/>
        <v>344724.57247316744</v>
      </c>
      <c r="U144" s="22">
        <f t="shared" si="58"/>
        <v>350927.53485199506</v>
      </c>
      <c r="V144" s="22">
        <f t="shared" si="58"/>
        <v>357132.54742102796</v>
      </c>
      <c r="W144" s="22">
        <f t="shared" si="58"/>
        <v>363339.52755853534</v>
      </c>
      <c r="X144" s="22">
        <f t="shared" si="58"/>
        <v>370370.97440919507</v>
      </c>
      <c r="Y144" s="22">
        <f t="shared" si="58"/>
        <v>377407.30182891863</v>
      </c>
      <c r="Z144" s="22">
        <f t="shared" si="58"/>
        <v>384448.32178662752</v>
      </c>
      <c r="AA144" s="22">
        <f t="shared" si="58"/>
        <v>391493.85578767257</v>
      </c>
      <c r="AB144" s="22">
        <f t="shared" si="58"/>
        <v>398543.73427682568</v>
      </c>
      <c r="AC144" s="22">
        <f t="shared" si="58"/>
        <v>405597.79608556721</v>
      </c>
      <c r="AD144" s="22">
        <f t="shared" si="58"/>
        <v>412655.88791987946</v>
      </c>
      <c r="AE144" s="22">
        <f t="shared" si="58"/>
        <v>419717.86388512678</v>
      </c>
      <c r="AF144" s="22">
        <f t="shared" si="58"/>
        <v>426783.58504492696</v>
      </c>
      <c r="AG144" s="22">
        <f t="shared" si="58"/>
        <v>433852.91901120776</v>
      </c>
      <c r="AH144" s="22">
        <f t="shared" si="58"/>
        <v>440683.89476134733</v>
      </c>
      <c r="AI144" s="22">
        <f t="shared" si="58"/>
        <v>447515.6427165147</v>
      </c>
      <c r="AJ144" s="22">
        <f t="shared" si="58"/>
        <v>454348.13265802001</v>
      </c>
      <c r="AK144" s="22">
        <f t="shared" si="58"/>
        <v>461181.33592359984</v>
      </c>
      <c r="AL144" s="22">
        <f t="shared" si="58"/>
        <v>468015.22530848836</v>
      </c>
      <c r="AM144" s="22">
        <f t="shared" si="58"/>
        <v>474849.77497393463</v>
      </c>
      <c r="AN144" s="22">
        <f t="shared" si="58"/>
        <v>481684.9603625267</v>
      </c>
      <c r="AO144" s="22">
        <f t="shared" si="58"/>
        <v>488520.75811973901</v>
      </c>
      <c r="AP144" s="22">
        <f t="shared" si="58"/>
        <v>495357.14602117229</v>
      </c>
      <c r="AQ144" s="22">
        <f t="shared" si="58"/>
        <v>502194.1029050115</v>
      </c>
      <c r="AR144" s="22">
        <f t="shared" si="58"/>
        <v>502194.1029050115</v>
      </c>
    </row>
  </sheetData>
  <mergeCells count="3">
    <mergeCell ref="N34:V34"/>
    <mergeCell ref="X34:AF34"/>
    <mergeCell ref="AH34:AP34"/>
  </mergeCells>
  <phoneticPr fontId="3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Cover</vt:lpstr>
      <vt:lpstr>Model explanation</vt:lpstr>
      <vt:lpstr>Inputs &amp; early calcs&gt;</vt:lpstr>
      <vt:lpstr>General</vt:lpstr>
      <vt:lpstr>CAPEX_In</vt:lpstr>
      <vt:lpstr>OPEX_In</vt:lpstr>
      <vt:lpstr>Benefit_In</vt:lpstr>
      <vt:lpstr>Trail use&gt;</vt:lpstr>
      <vt:lpstr>Km+hr travelled</vt:lpstr>
      <vt:lpstr>Annualised calcs &gt;</vt:lpstr>
      <vt:lpstr>CAPEX</vt:lpstr>
      <vt:lpstr>OPEX</vt:lpstr>
      <vt:lpstr>Benefits</vt:lpstr>
      <vt:lpstr>Outputs&gt;</vt:lpstr>
      <vt:lpstr>DCF</vt:lpstr>
      <vt:lpstr>Sens tests&gt;</vt:lpstr>
      <vt:lpstr>4%</vt:lpstr>
      <vt:lpstr>10%</vt:lpstr>
      <vt:lpstr>Best+Worst</vt:lpstr>
      <vt:lpstr>BenefitPeriod</vt:lpstr>
      <vt:lpstr>CheckError</vt:lpstr>
      <vt:lpstr>CheckOK</vt:lpstr>
      <vt:lpstr>DiscRate</vt:lpstr>
      <vt:lpstr>FY10toFY22</vt:lpstr>
      <vt:lpstr>FY13toFY22</vt:lpstr>
      <vt:lpstr>HoursinDay</vt:lpstr>
      <vt:lpstr>Hundred</vt:lpstr>
      <vt:lpstr>HundredMillion</vt:lpstr>
      <vt:lpstr>Million</vt:lpstr>
      <vt:lpstr>MinutesinHour</vt:lpstr>
      <vt:lpstr>MonthsinYear</vt:lpstr>
      <vt:lpstr>SensBenefitsHigh</vt:lpstr>
      <vt:lpstr>SensBenefitsLow</vt:lpstr>
      <vt:lpstr>SensCAPEXHigh</vt:lpstr>
      <vt:lpstr>SensCAPEXLow</vt:lpstr>
      <vt:lpstr>SensDisc10</vt:lpstr>
      <vt:lpstr>SensDisc4</vt:lpstr>
      <vt:lpstr>Thousand</vt:lpstr>
      <vt:lpstr>WeeksinYear</vt:lpstr>
      <vt:lpstr>YearsinDecade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Murrian</dc:creator>
  <cp:lastModifiedBy>Thomas Milverton</cp:lastModifiedBy>
  <dcterms:created xsi:type="dcterms:W3CDTF">2016-06-07T00:01:22Z</dcterms:created>
  <dcterms:modified xsi:type="dcterms:W3CDTF">2023-08-28T12:01:36Z</dcterms:modified>
</cp:coreProperties>
</file>